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9dbe4a3e92cf65e/Documenten/Marianne/"/>
    </mc:Choice>
  </mc:AlternateContent>
  <xr:revisionPtr revIDLastSave="0" documentId="14_{51528D25-8123-432B-AF89-C56F5F8AA03D}" xr6:coauthVersionLast="47" xr6:coauthVersionMax="47" xr10:uidLastSave="{00000000-0000-0000-0000-000000000000}"/>
  <bookViews>
    <workbookView xWindow="-108" yWindow="-108" windowWidth="23256" windowHeight="12456" tabRatio="945" activeTab="7" xr2:uid="{00000000-000D-0000-FFFF-FFFF00000000}"/>
  </bookViews>
  <sheets>
    <sheet name="instructies" sheetId="6" r:id="rId1"/>
    <sheet name="Lijstjes" sheetId="2" r:id="rId2"/>
    <sheet name="Deelnemers" sheetId="3" r:id="rId3"/>
    <sheet name="VP SM" sheetId="40" r:id="rId4"/>
    <sheet name="VP IL" sheetId="41" r:id="rId5"/>
    <sheet name="KAMP VP Vet" sheetId="42" r:id="rId6"/>
    <sheet name="KAMP VP SM" sheetId="43" r:id="rId7"/>
    <sheet name="KAMP VP IL" sheetId="44" r:id="rId8"/>
  </sheets>
  <definedNames>
    <definedName name="_xlnm.Print_Area" localSheetId="7">'KAMP VP IL'!$B:$N</definedName>
    <definedName name="_xlnm.Print_Area" localSheetId="6">'KAMP VP SM'!$B:$N</definedName>
    <definedName name="_xlnm.Print_Area" localSheetId="5">'KAMP VP Vet'!$B:$N</definedName>
    <definedName name="_xlnm.Print_Area" localSheetId="4">'VP IL'!$B:$N</definedName>
    <definedName name="_xlnm.Print_Area" localSheetId="3">'VP SM'!$B:$N</definedName>
    <definedName name="_xlnm.Print_Titles" localSheetId="7">'KAMP VP IL'!$1:$6</definedName>
    <definedName name="_xlnm.Print_Titles" localSheetId="6">'KAMP VP SM'!$1:$6</definedName>
    <definedName name="_xlnm.Print_Titles" localSheetId="5">'KAMP VP Vet'!$1:$6</definedName>
    <definedName name="_xlnm.Print_Titles" localSheetId="4">'VP IL'!$1:$6</definedName>
    <definedName name="_xlnm.Print_Titles" localSheetId="3">'VP SM'!$1:$6</definedName>
    <definedName name="KlasseLijst">Lijstjes!$A$2:INDEX(Lijstjes!$A:$A,COUNTA(Lijstjes!$A:$A))</definedName>
    <definedName name="OnderdelenLijst">Lijstjes!$B$2:INDEX(Lijstjes!$B:$B,COUNTA(Lijstjes!$B:$B))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8" i="44" l="1"/>
  <c r="D18" i="44"/>
  <c r="E18" i="44"/>
  <c r="F18" i="44"/>
  <c r="M18" i="44"/>
  <c r="P18" i="44" s="1"/>
  <c r="N18" i="44"/>
  <c r="O18" i="44"/>
  <c r="Q18" i="44"/>
  <c r="Q17" i="44"/>
  <c r="O17" i="44"/>
  <c r="N17" i="44"/>
  <c r="M17" i="44"/>
  <c r="F17" i="44"/>
  <c r="E17" i="44"/>
  <c r="D17" i="44"/>
  <c r="A17" i="44"/>
  <c r="Q10" i="44"/>
  <c r="O10" i="44"/>
  <c r="N10" i="44"/>
  <c r="M10" i="44"/>
  <c r="F10" i="44"/>
  <c r="E10" i="44"/>
  <c r="D10" i="44"/>
  <c r="A10" i="44"/>
  <c r="Q16" i="44"/>
  <c r="O16" i="44"/>
  <c r="N16" i="44"/>
  <c r="M16" i="44"/>
  <c r="F16" i="44"/>
  <c r="E16" i="44"/>
  <c r="D16" i="44"/>
  <c r="A16" i="44"/>
  <c r="Q12" i="44"/>
  <c r="O12" i="44"/>
  <c r="M12" i="44" s="1"/>
  <c r="N12" i="44"/>
  <c r="F12" i="44"/>
  <c r="E12" i="44"/>
  <c r="D12" i="44"/>
  <c r="A12" i="44"/>
  <c r="Q11" i="44"/>
  <c r="O11" i="44"/>
  <c r="M11" i="44" s="1"/>
  <c r="N11" i="44"/>
  <c r="F11" i="44"/>
  <c r="E11" i="44"/>
  <c r="D11" i="44"/>
  <c r="A11" i="44"/>
  <c r="Q9" i="44"/>
  <c r="O9" i="44"/>
  <c r="M9" i="44" s="1"/>
  <c r="N9" i="44"/>
  <c r="F9" i="44"/>
  <c r="E9" i="44"/>
  <c r="D9" i="44"/>
  <c r="A9" i="44"/>
  <c r="Q15" i="44"/>
  <c r="O15" i="44"/>
  <c r="N15" i="44"/>
  <c r="M15" i="44"/>
  <c r="F15" i="44"/>
  <c r="E15" i="44"/>
  <c r="D15" i="44"/>
  <c r="A15" i="44"/>
  <c r="Q14" i="44"/>
  <c r="O14" i="44"/>
  <c r="N14" i="44"/>
  <c r="M14" i="44"/>
  <c r="F14" i="44"/>
  <c r="E14" i="44"/>
  <c r="D14" i="44"/>
  <c r="A14" i="44"/>
  <c r="Q8" i="44"/>
  <c r="O8" i="44"/>
  <c r="M8" i="44" s="1"/>
  <c r="N8" i="44"/>
  <c r="F8" i="44"/>
  <c r="E8" i="44"/>
  <c r="D8" i="44"/>
  <c r="A8" i="44"/>
  <c r="Q13" i="44"/>
  <c r="O13" i="44"/>
  <c r="M13" i="44" s="1"/>
  <c r="N13" i="44"/>
  <c r="F13" i="44"/>
  <c r="E13" i="44"/>
  <c r="D13" i="44"/>
  <c r="A13" i="44"/>
  <c r="Q9" i="43"/>
  <c r="O9" i="43"/>
  <c r="N9" i="43"/>
  <c r="M9" i="43"/>
  <c r="P9" i="43" s="1"/>
  <c r="F9" i="43"/>
  <c r="E9" i="43"/>
  <c r="D9" i="43"/>
  <c r="A9" i="43"/>
  <c r="Q12" i="43"/>
  <c r="O12" i="43"/>
  <c r="N12" i="43"/>
  <c r="M12" i="43"/>
  <c r="P12" i="43" s="1"/>
  <c r="F12" i="43"/>
  <c r="E12" i="43"/>
  <c r="D12" i="43"/>
  <c r="A12" i="43"/>
  <c r="Q8" i="43"/>
  <c r="O8" i="43"/>
  <c r="N8" i="43"/>
  <c r="M8" i="43"/>
  <c r="P8" i="43" s="1"/>
  <c r="F8" i="43"/>
  <c r="E8" i="43"/>
  <c r="D8" i="43"/>
  <c r="A8" i="43"/>
  <c r="Q11" i="43"/>
  <c r="O11" i="43"/>
  <c r="N11" i="43"/>
  <c r="M11" i="43"/>
  <c r="P11" i="43" s="1"/>
  <c r="F11" i="43"/>
  <c r="E11" i="43"/>
  <c r="D11" i="43"/>
  <c r="A11" i="43"/>
  <c r="Q10" i="43"/>
  <c r="O10" i="43"/>
  <c r="N10" i="43"/>
  <c r="M10" i="43"/>
  <c r="P10" i="43" s="1"/>
  <c r="F10" i="43"/>
  <c r="E10" i="43"/>
  <c r="D10" i="43"/>
  <c r="A10" i="43"/>
  <c r="Q11" i="42"/>
  <c r="O11" i="42"/>
  <c r="N11" i="42"/>
  <c r="M11" i="42"/>
  <c r="F11" i="42"/>
  <c r="E11" i="42"/>
  <c r="D11" i="42"/>
  <c r="A11" i="42"/>
  <c r="Q12" i="42"/>
  <c r="O12" i="42"/>
  <c r="N12" i="42"/>
  <c r="M12" i="42"/>
  <c r="F12" i="42"/>
  <c r="E12" i="42"/>
  <c r="D12" i="42"/>
  <c r="A12" i="42"/>
  <c r="Q10" i="42"/>
  <c r="O10" i="42"/>
  <c r="N10" i="42"/>
  <c r="M10" i="42"/>
  <c r="F10" i="42"/>
  <c r="E10" i="42"/>
  <c r="D10" i="42"/>
  <c r="A10" i="42"/>
  <c r="Q8" i="42"/>
  <c r="O8" i="42"/>
  <c r="N8" i="42"/>
  <c r="M8" i="42"/>
  <c r="P8" i="42" s="1"/>
  <c r="F8" i="42"/>
  <c r="E8" i="42"/>
  <c r="D8" i="42"/>
  <c r="A8" i="42"/>
  <c r="Q9" i="42"/>
  <c r="O9" i="42"/>
  <c r="N9" i="42"/>
  <c r="M9" i="42"/>
  <c r="P9" i="42" s="1"/>
  <c r="F9" i="42"/>
  <c r="E9" i="42"/>
  <c r="D9" i="42"/>
  <c r="A9" i="42"/>
  <c r="Q12" i="41"/>
  <c r="O12" i="41"/>
  <c r="M12" i="41" s="1"/>
  <c r="P12" i="41" s="1"/>
  <c r="N12" i="41"/>
  <c r="F12" i="41"/>
  <c r="E12" i="41"/>
  <c r="D12" i="41"/>
  <c r="A12" i="41"/>
  <c r="Q20" i="41"/>
  <c r="O20" i="41"/>
  <c r="N20" i="41"/>
  <c r="M20" i="41"/>
  <c r="P20" i="41" s="1"/>
  <c r="F20" i="41"/>
  <c r="E20" i="41"/>
  <c r="D20" i="41"/>
  <c r="A20" i="41"/>
  <c r="Q19" i="41"/>
  <c r="O19" i="41"/>
  <c r="N19" i="41"/>
  <c r="M19" i="41"/>
  <c r="P19" i="41" s="1"/>
  <c r="F19" i="41"/>
  <c r="E19" i="41"/>
  <c r="D19" i="41"/>
  <c r="A19" i="41"/>
  <c r="Q18" i="41"/>
  <c r="O18" i="41"/>
  <c r="N18" i="41"/>
  <c r="M18" i="41"/>
  <c r="P18" i="41" s="1"/>
  <c r="F18" i="41"/>
  <c r="E18" i="41"/>
  <c r="D18" i="41"/>
  <c r="A18" i="41"/>
  <c r="Q17" i="41"/>
  <c r="O17" i="41"/>
  <c r="N17" i="41"/>
  <c r="M17" i="41"/>
  <c r="P17" i="41" s="1"/>
  <c r="F17" i="41"/>
  <c r="E17" i="41"/>
  <c r="D17" i="41"/>
  <c r="A17" i="41"/>
  <c r="Q11" i="41"/>
  <c r="O11" i="41"/>
  <c r="N11" i="41"/>
  <c r="M11" i="41"/>
  <c r="P11" i="41" s="1"/>
  <c r="F11" i="41"/>
  <c r="E11" i="41"/>
  <c r="D11" i="41"/>
  <c r="A11" i="41"/>
  <c r="Q16" i="41"/>
  <c r="O16" i="41"/>
  <c r="N16" i="41"/>
  <c r="M16" i="41"/>
  <c r="F16" i="41"/>
  <c r="E16" i="41"/>
  <c r="D16" i="41"/>
  <c r="A16" i="41"/>
  <c r="Q15" i="41"/>
  <c r="O15" i="41"/>
  <c r="N15" i="41"/>
  <c r="M15" i="41"/>
  <c r="P15" i="41" s="1"/>
  <c r="F15" i="41"/>
  <c r="E15" i="41"/>
  <c r="D15" i="41"/>
  <c r="A15" i="41"/>
  <c r="Q9" i="41"/>
  <c r="O9" i="41"/>
  <c r="N9" i="41"/>
  <c r="M9" i="41"/>
  <c r="P9" i="41" s="1"/>
  <c r="F9" i="41"/>
  <c r="E9" i="41"/>
  <c r="D9" i="41"/>
  <c r="A9" i="41"/>
  <c r="Q14" i="41"/>
  <c r="O14" i="41"/>
  <c r="N14" i="41"/>
  <c r="M14" i="41"/>
  <c r="F14" i="41"/>
  <c r="E14" i="41"/>
  <c r="D14" i="41"/>
  <c r="A14" i="41"/>
  <c r="Q13" i="41"/>
  <c r="O13" i="41"/>
  <c r="N13" i="41"/>
  <c r="M13" i="41"/>
  <c r="F13" i="41"/>
  <c r="E13" i="41"/>
  <c r="D13" i="41"/>
  <c r="A13" i="41"/>
  <c r="Q8" i="41"/>
  <c r="O8" i="41"/>
  <c r="N8" i="41"/>
  <c r="M8" i="41"/>
  <c r="F8" i="41"/>
  <c r="E8" i="41"/>
  <c r="D8" i="41"/>
  <c r="A8" i="41"/>
  <c r="Q10" i="41"/>
  <c r="O10" i="41"/>
  <c r="M10" i="41" s="1"/>
  <c r="P10" i="41" s="1"/>
  <c r="N10" i="41"/>
  <c r="F10" i="41"/>
  <c r="E10" i="41"/>
  <c r="D10" i="41"/>
  <c r="A10" i="41"/>
  <c r="A16" i="40"/>
  <c r="D16" i="40"/>
  <c r="E16" i="40"/>
  <c r="F16" i="40"/>
  <c r="N16" i="40"/>
  <c r="O16" i="40"/>
  <c r="M16" i="40" s="1"/>
  <c r="Q16" i="40"/>
  <c r="A8" i="40"/>
  <c r="A12" i="40"/>
  <c r="A14" i="40"/>
  <c r="A9" i="40"/>
  <c r="A11" i="40"/>
  <c r="A13" i="40"/>
  <c r="D8" i="40"/>
  <c r="D12" i="40"/>
  <c r="D14" i="40"/>
  <c r="D9" i="40"/>
  <c r="D11" i="40"/>
  <c r="D13" i="40"/>
  <c r="E8" i="40"/>
  <c r="E12" i="40"/>
  <c r="E14" i="40"/>
  <c r="E9" i="40"/>
  <c r="E11" i="40"/>
  <c r="E13" i="40"/>
  <c r="F8" i="40"/>
  <c r="F12" i="40"/>
  <c r="F14" i="40"/>
  <c r="F9" i="40"/>
  <c r="F11" i="40"/>
  <c r="F13" i="40"/>
  <c r="N8" i="40"/>
  <c r="N12" i="40"/>
  <c r="N14" i="40"/>
  <c r="N9" i="40"/>
  <c r="N11" i="40"/>
  <c r="N13" i="40"/>
  <c r="O8" i="40"/>
  <c r="M8" i="40" s="1"/>
  <c r="P8" i="40" s="1"/>
  <c r="O12" i="40"/>
  <c r="M12" i="40" s="1"/>
  <c r="P12" i="40" s="1"/>
  <c r="O14" i="40"/>
  <c r="M14" i="40" s="1"/>
  <c r="O9" i="40"/>
  <c r="M9" i="40" s="1"/>
  <c r="O11" i="40"/>
  <c r="M11" i="40" s="1"/>
  <c r="P11" i="40" s="1"/>
  <c r="O13" i="40"/>
  <c r="M13" i="40" s="1"/>
  <c r="Q8" i="40"/>
  <c r="Q12" i="40"/>
  <c r="Q14" i="40"/>
  <c r="Q9" i="40"/>
  <c r="Q11" i="40"/>
  <c r="Q13" i="40"/>
  <c r="Q10" i="40"/>
  <c r="O10" i="40"/>
  <c r="M10" i="40" s="1"/>
  <c r="P10" i="40" s="1"/>
  <c r="N10" i="40"/>
  <c r="F10" i="40"/>
  <c r="E10" i="40"/>
  <c r="D10" i="40"/>
  <c r="A10" i="40"/>
  <c r="Q15" i="40"/>
  <c r="O15" i="40"/>
  <c r="M15" i="40" s="1"/>
  <c r="P15" i="40" s="1"/>
  <c r="N15" i="40"/>
  <c r="F15" i="40"/>
  <c r="E15" i="40"/>
  <c r="D15" i="40"/>
  <c r="A15" i="40"/>
  <c r="P8" i="44" l="1"/>
  <c r="P15" i="44"/>
  <c r="P13" i="44"/>
  <c r="P14" i="44"/>
  <c r="P12" i="42"/>
  <c r="P16" i="44"/>
  <c r="P10" i="44"/>
  <c r="P17" i="44"/>
  <c r="P12" i="44"/>
  <c r="P9" i="44"/>
  <c r="P11" i="44"/>
  <c r="B10" i="43"/>
  <c r="P10" i="42"/>
  <c r="P11" i="42"/>
  <c r="P8" i="41"/>
  <c r="P13" i="41"/>
  <c r="P14" i="41"/>
  <c r="P16" i="41"/>
  <c r="P16" i="40"/>
  <c r="P9" i="40"/>
  <c r="P13" i="40"/>
  <c r="P14" i="40"/>
  <c r="B11" i="43" l="1"/>
  <c r="B8" i="43" s="1"/>
  <c r="B15" i="44"/>
  <c r="B8" i="41"/>
  <c r="B12" i="43" l="1"/>
  <c r="B9" i="43" s="1"/>
  <c r="B13" i="41"/>
  <c r="B14" i="41" l="1"/>
  <c r="B8" i="40"/>
  <c r="B16" i="40" l="1"/>
  <c r="B9" i="41"/>
  <c r="B10" i="41" s="1"/>
  <c r="B15" i="41" l="1"/>
  <c r="B16" i="41" l="1"/>
  <c r="B11" i="41" s="1"/>
  <c r="B17" i="41" s="1"/>
  <c r="B18" i="41" s="1"/>
  <c r="B19" i="41" s="1"/>
  <c r="B20" i="41" s="1"/>
  <c r="B12" i="41" s="1"/>
  <c r="B9" i="40" l="1"/>
  <c r="B10" i="40"/>
  <c r="B11" i="40"/>
  <c r="B12" i="40"/>
  <c r="B13" i="40"/>
  <c r="B14" i="40"/>
  <c r="B15" i="40"/>
  <c r="B8" i="42"/>
  <c r="B9" i="42"/>
  <c r="B10" i="42"/>
  <c r="B11" i="42"/>
  <c r="B12" i="42"/>
  <c r="B16" i="44"/>
  <c r="B8" i="44"/>
  <c r="B9" i="44"/>
  <c r="B10" i="44"/>
  <c r="B17" i="44"/>
  <c r="B18" i="44"/>
  <c r="B11" i="44"/>
  <c r="B12" i="44"/>
  <c r="B13" i="44"/>
  <c r="B14" i="44"/>
</calcChain>
</file>

<file path=xl/sharedStrings.xml><?xml version="1.0" encoding="utf-8"?>
<sst xmlns="http://schemas.openxmlformats.org/spreadsheetml/2006/main" count="465" uniqueCount="171">
  <si>
    <t>Voorbereiding:</t>
  </si>
  <si>
    <t>Vul deelnemers sheet in</t>
  </si>
  <si>
    <t xml:space="preserve">Vul wedstrijdgegevens </t>
  </si>
  <si>
    <t>Kopieer werkblad voor elk onderdeel</t>
  </si>
  <si>
    <t>Vul onderdeel gegevens in</t>
  </si>
  <si>
    <t>Tabel wordt automatisch uitgebreid door eronder een nieuw startnummer in te voeren</t>
  </si>
  <si>
    <t xml:space="preserve">Om regel te verwijderen </t>
  </si>
  <si>
    <t>ga op startnummer staan…rechtermuisknop….verwijderen…tabelrijen</t>
  </si>
  <si>
    <t>Resultaten invoeren VP/JP:</t>
  </si>
  <si>
    <t>Vul startnummer,  Tijd en W/A/F in</t>
  </si>
  <si>
    <t>In geval van diskwalficatie een 1 of D invullen bij Disk</t>
  </si>
  <si>
    <t>Licentienummer, handler en hond worden opgehaald uit Deelnemers</t>
  </si>
  <si>
    <t xml:space="preserve">Sorteer kolom 'Sorteren' Oplopend </t>
  </si>
  <si>
    <t>Klasses</t>
  </si>
  <si>
    <t>Onderdelen</t>
  </si>
  <si>
    <t>1e graad S/M</t>
  </si>
  <si>
    <t>Vast Parcours</t>
  </si>
  <si>
    <t>1e graad I/L</t>
  </si>
  <si>
    <t>Jumping</t>
  </si>
  <si>
    <t>2e graad S/M</t>
  </si>
  <si>
    <t>Spel</t>
  </si>
  <si>
    <t>Vast Parcours Spel</t>
  </si>
  <si>
    <t>3e graad S/M</t>
  </si>
  <si>
    <t>Tijd-Fout-Uit</t>
  </si>
  <si>
    <t>3e graad I/L</t>
  </si>
  <si>
    <t>Gambling</t>
  </si>
  <si>
    <t>Veteranen</t>
  </si>
  <si>
    <t>Tijd+Fout</t>
  </si>
  <si>
    <t>Vul op deze pagina alle deelnemers in</t>
  </si>
  <si>
    <t>Alleen invullen als deelnemer buiten mededinging meedoet</t>
  </si>
  <si>
    <t>Snr</t>
  </si>
  <si>
    <t>LicNr</t>
  </si>
  <si>
    <t>Handler</t>
  </si>
  <si>
    <t>Hond</t>
  </si>
  <si>
    <t>Geb.Datum</t>
  </si>
  <si>
    <t>Ras</t>
  </si>
  <si>
    <t>Klasse</t>
  </si>
  <si>
    <t>Buiten Mededinging</t>
  </si>
  <si>
    <t>Vereniging</t>
  </si>
  <si>
    <t>Keurmeester</t>
  </si>
  <si>
    <t>Wedstrijd</t>
  </si>
  <si>
    <t xml:space="preserve">ARL </t>
  </si>
  <si>
    <t>SPT</t>
  </si>
  <si>
    <t>sec</t>
  </si>
  <si>
    <t>Datum</t>
  </si>
  <si>
    <t>MPT</t>
  </si>
  <si>
    <t>Vul wedstrijdgegevens in</t>
  </si>
  <si>
    <t>Lengte</t>
  </si>
  <si>
    <t>m</t>
  </si>
  <si>
    <t>Onderdeel</t>
  </si>
  <si>
    <t>Plaats</t>
  </si>
  <si>
    <t>Punten</t>
  </si>
  <si>
    <t>Hoogte</t>
  </si>
  <si>
    <t>SN</t>
  </si>
  <si>
    <t>Tijd</t>
  </si>
  <si>
    <t>W</t>
  </si>
  <si>
    <t>A</t>
  </si>
  <si>
    <t>F</t>
  </si>
  <si>
    <t>Disk</t>
  </si>
  <si>
    <t>Score</t>
  </si>
  <si>
    <t>m/s</t>
  </si>
  <si>
    <t>Fouten</t>
  </si>
  <si>
    <t>Sorteren</t>
  </si>
  <si>
    <t>Waarschuwing</t>
  </si>
  <si>
    <t>Debutanten S/M</t>
  </si>
  <si>
    <t>Debutanten I/L</t>
  </si>
  <si>
    <t>2e graad I/L</t>
  </si>
  <si>
    <t>Kampioenschap</t>
  </si>
  <si>
    <t>Kampioenschap S/M</t>
  </si>
  <si>
    <t>Kampioenschap I/L</t>
  </si>
  <si>
    <t>Kampioenschap Vet</t>
  </si>
  <si>
    <t>Martina Nosbisch</t>
  </si>
  <si>
    <t>Emma</t>
  </si>
  <si>
    <t>Anja Verheijen</t>
  </si>
  <si>
    <t>Pim</t>
  </si>
  <si>
    <t>S</t>
  </si>
  <si>
    <t>Kyra Kerkhoffs</t>
  </si>
  <si>
    <t>Quinn</t>
  </si>
  <si>
    <t>Jana Kämpfe</t>
  </si>
  <si>
    <t>Chewie</t>
  </si>
  <si>
    <t>Nicole Kündgen-Redding</t>
  </si>
  <si>
    <t>Unico</t>
  </si>
  <si>
    <t>martina Nosbisch</t>
  </si>
  <si>
    <t>Jim Knopf</t>
  </si>
  <si>
    <t>Mary Simons</t>
  </si>
  <si>
    <t>Freya</t>
  </si>
  <si>
    <t>Monika Thoer-Gruessem</t>
  </si>
  <si>
    <t>Flora</t>
  </si>
  <si>
    <t>M</t>
  </si>
  <si>
    <t>Isa Bouten</t>
  </si>
  <si>
    <t>Bowie</t>
  </si>
  <si>
    <t>Carla Giesbertz</t>
  </si>
  <si>
    <t>Ruby</t>
  </si>
  <si>
    <t>Monika Thoer Gruessem</t>
  </si>
  <si>
    <t>Blu</t>
  </si>
  <si>
    <t>Ellie Cramers</t>
  </si>
  <si>
    <t>Lou</t>
  </si>
  <si>
    <t>Peggy Vos</t>
  </si>
  <si>
    <t>Bee like Qailey</t>
  </si>
  <si>
    <t>In</t>
  </si>
  <si>
    <t>Karin Niemer</t>
  </si>
  <si>
    <t>Barry</t>
  </si>
  <si>
    <t>Els Schouren</t>
  </si>
  <si>
    <t>Buddy</t>
  </si>
  <si>
    <t>Ans Groenendal</t>
  </si>
  <si>
    <t>Evi</t>
  </si>
  <si>
    <t>Kars Grit</t>
  </si>
  <si>
    <t>Cole</t>
  </si>
  <si>
    <t>L</t>
  </si>
  <si>
    <t>Margie Scipio</t>
  </si>
  <si>
    <t>Kenna</t>
  </si>
  <si>
    <t>Linda Wets</t>
  </si>
  <si>
    <t>Kolt</t>
  </si>
  <si>
    <t>Tamara Hansen</t>
  </si>
  <si>
    <t>Zury</t>
  </si>
  <si>
    <t>Mirjam Suijlen-Boons</t>
  </si>
  <si>
    <t>Thor</t>
  </si>
  <si>
    <t>Esther Bemelmans</t>
  </si>
  <si>
    <t>Bliss</t>
  </si>
  <si>
    <t>Irena Kokot</t>
  </si>
  <si>
    <t>Joker</t>
  </si>
  <si>
    <t>Tatiana Vasilevskaya</t>
  </si>
  <si>
    <t>Hurricane</t>
  </si>
  <si>
    <t>Ulrich Wagner</t>
  </si>
  <si>
    <t>Simba</t>
  </si>
  <si>
    <t>Ilay</t>
  </si>
  <si>
    <t>Nastasia Cerda-Gallego</t>
  </si>
  <si>
    <t>Bazinga</t>
  </si>
  <si>
    <t>Lynn Water van de</t>
  </si>
  <si>
    <t>Nera</t>
  </si>
  <si>
    <t>Thomas Jansen</t>
  </si>
  <si>
    <t>Merlin</t>
  </si>
  <si>
    <t>Vanessa Schleuter</t>
  </si>
  <si>
    <t>Maxi</t>
  </si>
  <si>
    <t>Mariska Elteren van</t>
  </si>
  <si>
    <t>Mayka</t>
  </si>
  <si>
    <t>Birgit Lehmann</t>
  </si>
  <si>
    <t>Deelayla</t>
  </si>
  <si>
    <t>Rose</t>
  </si>
  <si>
    <t>Melina Beshan</t>
  </si>
  <si>
    <t>Tess</t>
  </si>
  <si>
    <t>Aika</t>
  </si>
  <si>
    <t>Maro</t>
  </si>
  <si>
    <t>Jana Mollner</t>
  </si>
  <si>
    <t>Oskar</t>
  </si>
  <si>
    <t>Gaby Kerkhoffs</t>
  </si>
  <si>
    <t>Bowy</t>
  </si>
  <si>
    <t>Lilly</t>
  </si>
  <si>
    <t>Jule Mollner</t>
  </si>
  <si>
    <t>Flash de Buurman</t>
  </si>
  <si>
    <t>Toby</t>
  </si>
  <si>
    <t>Tiara</t>
  </si>
  <si>
    <t>Amy Notten</t>
  </si>
  <si>
    <t>yolo</t>
  </si>
  <si>
    <t>Brigitte Driessen</t>
  </si>
  <si>
    <t>Skai</t>
  </si>
  <si>
    <t>Yuna</t>
  </si>
  <si>
    <t>Nala</t>
  </si>
  <si>
    <t>Jip</t>
  </si>
  <si>
    <t>Jose Verkoeijen</t>
  </si>
  <si>
    <t>Kite</t>
  </si>
  <si>
    <t>Melanie Böhm</t>
  </si>
  <si>
    <t>Age</t>
  </si>
  <si>
    <t>Roger Lehnen</t>
  </si>
  <si>
    <t>Shiva</t>
  </si>
  <si>
    <t>Joya</t>
  </si>
  <si>
    <t>Jan Smeets</t>
  </si>
  <si>
    <t>Bo</t>
  </si>
  <si>
    <t>Peter Cleef van</t>
  </si>
  <si>
    <t>Bo-Joe</t>
  </si>
  <si>
    <t>Peter van Cleef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</si>
</sst>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3.2"/>
      <color rgb="FF000000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strike/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2" borderId="0" xfId="0" applyFill="1" applyProtection="1">
      <protection locked="0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2" fontId="5" fillId="0" borderId="0" xfId="0" applyNumberFormat="1" applyFont="1"/>
    <xf numFmtId="0" fontId="6" fillId="0" borderId="0" xfId="0" applyFont="1"/>
    <xf numFmtId="164" fontId="7" fillId="0" borderId="0" xfId="0" applyNumberFormat="1" applyFont="1" applyAlignment="1">
      <alignment horizontal="right" vertical="top" shrinkToFit="1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2" fontId="0" fillId="2" borderId="0" xfId="0" applyNumberFormat="1" applyFill="1" applyProtection="1">
      <protection locked="0"/>
    </xf>
    <xf numFmtId="0" fontId="1" fillId="0" borderId="0" xfId="0" applyFont="1" applyProtection="1">
      <protection locked="0"/>
    </xf>
    <xf numFmtId="0" fontId="8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wrapText="1"/>
    </xf>
    <xf numFmtId="164" fontId="4" fillId="0" borderId="0" xfId="0" applyNumberFormat="1" applyFont="1" applyAlignment="1">
      <alignment horizontal="right" vertical="top" shrinkToFit="1"/>
    </xf>
    <xf numFmtId="164" fontId="11" fillId="0" borderId="0" xfId="0" applyNumberFormat="1" applyFont="1" applyAlignment="1">
      <alignment horizontal="right" vertical="top" shrinkToFit="1"/>
    </xf>
    <xf numFmtId="164" fontId="13" fillId="0" borderId="0" xfId="0" applyNumberFormat="1" applyFont="1" applyAlignment="1">
      <alignment horizontal="right" vertical="top" shrinkToFit="1"/>
    </xf>
    <xf numFmtId="0" fontId="5" fillId="0" borderId="0" xfId="0" applyFont="1"/>
    <xf numFmtId="0" fontId="5" fillId="0" borderId="0" xfId="0" applyFont="1" applyProtection="1">
      <protection locked="0"/>
    </xf>
    <xf numFmtId="2" fontId="14" fillId="0" borderId="0" xfId="0" applyNumberFormat="1" applyFont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</cellXfs>
  <cellStyles count="25">
    <cellStyle name="Gevolgde hyperlink" xfId="8" builtinId="9" hidden="1"/>
    <cellStyle name="Gevolgde hyperlink" xfId="2" builtinId="9" hidden="1"/>
    <cellStyle name="Gevolgde hyperlink" xfId="6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4" builtinId="9" hidden="1"/>
    <cellStyle name="Gevolgde hyperlink" xfId="24" builtinId="9" hidden="1"/>
    <cellStyle name="Gevolgde hyperlink" xfId="10" builtinId="9" hidden="1"/>
    <cellStyle name="Gevolgde hyperlink" xfId="22" builtinId="9" hidden="1"/>
    <cellStyle name="Gevolgde hyperlink" xfId="20" builtinId="9" hidden="1"/>
    <cellStyle name="Hyperlink" xfId="11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Hyperlink" xfId="23" builtinId="8" hidden="1"/>
    <cellStyle name="Hyperlink" xfId="17" builtinId="8" hidden="1"/>
    <cellStyle name="Hyperlink" xfId="19" builtinId="8" hidden="1"/>
    <cellStyle name="Hyperlink" xfId="21" builtinId="8" hidden="1"/>
    <cellStyle name="Hyperlink" xfId="15" builtinId="8" hidden="1"/>
    <cellStyle name="Hyperlink" xfId="13" builtinId="8" hidden="1"/>
    <cellStyle name="Standaard" xfId="0" builtinId="0"/>
  </cellStyles>
  <dxfs count="83"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numFmt numFmtId="0" formatCode="General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/>
      <protection locked="0" hidden="0"/>
    </dxf>
    <dxf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6" tint="0.59999389629810485"/>
        </patternFill>
      </fill>
      <protection locked="0" hidden="0"/>
    </dxf>
    <dxf>
      <fill>
        <patternFill patternType="solid">
          <fgColor indexed="64"/>
          <bgColor theme="6" tint="0.59999389629810485"/>
        </patternFill>
      </fill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protection locked="1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0</xdr:row>
          <xdr:rowOff>19049</xdr:rowOff>
        </xdr:from>
        <xdr:to>
          <xdr:col>14</xdr:col>
          <xdr:colOff>0</xdr:colOff>
          <xdr:row>3</xdr:row>
          <xdr:rowOff>190499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E30F821C-F7E0-4654-ACE3-98DE93113B0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57440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829425" y="19049"/>
              <a:ext cx="2057400" cy="771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0</xdr:row>
          <xdr:rowOff>19048</xdr:rowOff>
        </xdr:from>
        <xdr:to>
          <xdr:col>13</xdr:col>
          <xdr:colOff>447675</xdr:colOff>
          <xdr:row>3</xdr:row>
          <xdr:rowOff>180974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30393693-C651-4EEC-9C66-23730D9287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58384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762750" y="19048"/>
              <a:ext cx="2105025" cy="7620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352424</xdr:colOff>
          <xdr:row>0</xdr:row>
          <xdr:rowOff>19048</xdr:rowOff>
        </xdr:from>
        <xdr:to>
          <xdr:col>13</xdr:col>
          <xdr:colOff>390524</xdr:colOff>
          <xdr:row>3</xdr:row>
          <xdr:rowOff>161925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ECD04B7F-425B-4EFC-8902-625C7726E06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59408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762749" y="19048"/>
              <a:ext cx="2047875" cy="74295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352424</xdr:colOff>
          <xdr:row>0</xdr:row>
          <xdr:rowOff>19047</xdr:rowOff>
        </xdr:from>
        <xdr:to>
          <xdr:col>13</xdr:col>
          <xdr:colOff>447674</xdr:colOff>
          <xdr:row>3</xdr:row>
          <xdr:rowOff>190499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68E963F0-6B6C-4E18-8007-220E9092970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60432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762749" y="19047"/>
              <a:ext cx="2105025" cy="77152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0</xdr:row>
          <xdr:rowOff>19047</xdr:rowOff>
        </xdr:from>
        <xdr:to>
          <xdr:col>13</xdr:col>
          <xdr:colOff>438150</xdr:colOff>
          <xdr:row>3</xdr:row>
          <xdr:rowOff>190499</xdr:rowOff>
        </xdr:to>
        <xdr:pic>
          <xdr:nvPicPr>
            <xdr:cNvPr id="2" name="Afbeelding 1">
              <a:extLst>
                <a:ext uri="{FF2B5EF4-FFF2-40B4-BE49-F238E27FC236}">
                  <a16:creationId xmlns:a16="http://schemas.microsoft.com/office/drawing/2014/main" id="{3F1592DC-D334-4E70-A62F-67BD5C29E5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4:$C$5" spid="_x0000_s61458"/>
                </a:ext>
              </a:extLst>
            </xdr:cNvPicPr>
          </xdr:nvPicPr>
          <xdr:blipFill>
            <a:blip xmlns:r="http://schemas.openxmlformats.org/officeDocument/2006/relationships" r:embed="rId1"/>
            <a:srcRect r="14647"/>
            <a:stretch>
              <a:fillRect/>
            </a:stretch>
          </xdr:blipFill>
          <xdr:spPr bwMode="auto">
            <a:xfrm>
              <a:off x="6762750" y="19047"/>
              <a:ext cx="2095500" cy="77152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Deelnemers" displayName="Deelnemers" ref="A3:H116" totalsRowShown="0" headerRowDxfId="82" dataDxfId="81">
  <autoFilter ref="A3:H116" xr:uid="{00000000-0009-0000-0100-000003000000}"/>
  <tableColumns count="8">
    <tableColumn id="1" xr3:uid="{00000000-0010-0000-0000-000001000000}" name="Snr"/>
    <tableColumn id="2" xr3:uid="{00000000-0010-0000-0000-000002000000}" name="LicNr"/>
    <tableColumn id="3" xr3:uid="{00000000-0010-0000-0000-000003000000}" name="Handler"/>
    <tableColumn id="4" xr3:uid="{00000000-0010-0000-0000-000004000000}" name="Hond"/>
    <tableColumn id="7" xr3:uid="{00000000-0010-0000-0000-000007000000}" name="Geb.Datum"/>
    <tableColumn id="5" xr3:uid="{00000000-0010-0000-0000-000005000000}" name="Ras"/>
    <tableColumn id="6" xr3:uid="{00000000-0010-0000-0000-000006000000}" name="Klasse"/>
    <tableColumn id="8" xr3:uid="{00000000-0010-0000-0000-000008000000}" name="Buiten Mededinging" dataDxfId="8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D06146-9741-4E92-9082-F4E0277663B4}" name="Tabel42372" displayName="Tabel42372" ref="A7:Q16" totalsRowShown="0" headerRowDxfId="79">
  <autoFilter ref="A7:Q16" xr:uid="{00000000-0009-0000-0100-000006000000}"/>
  <sortState xmlns:xlrd2="http://schemas.microsoft.com/office/spreadsheetml/2017/richdata2" ref="A8:Q16">
    <sortCondition ref="P7:P16"/>
  </sortState>
  <tableColumns count="17">
    <tableColumn id="3" xr3:uid="{B689F524-A7E4-4046-975C-FE0A5C2B8A9B}" name="LicNr" dataDxfId="78">
      <calculatedColumnFormula>IFERROR(VLOOKUP(Tabel42372[[#This Row],[SN]],Deelnemers[#All],2,0),"")</calculatedColumnFormula>
    </tableColumn>
    <tableColumn id="19" xr3:uid="{72EBC227-3BD3-43DB-BBDB-AEE47B4DA0CD}" name="Plaats" dataDxfId="77">
      <calculatedColumnFormula>IF(Tabel42372[[#This Row],[Score]]="Disk",0,IF(VLOOKUP(Tabel42372[[#This Row],[SN]],Deelnemers[#All],8,0)&gt;0,"BM",MATCH(Tabel42372[[#This Row],[Sorteren]],Tabel42372[Sorteren],0)-COUNTIF($B$7:$B7,"BM")))</calculatedColumnFormula>
    </tableColumn>
    <tableColumn id="21" xr3:uid="{A5978830-E521-4457-BB3C-B7D33ED26C4A}" name="Punten"/>
    <tableColumn id="16" xr3:uid="{DC7A8763-806D-41A8-8DF7-20E6A6A8FC74}" name="Handler" dataDxfId="76">
      <calculatedColumnFormula>IFERROR(VLOOKUP(Tabel42372[[#This Row],[SN]],Deelnemers[#All],3,0),"")</calculatedColumnFormula>
    </tableColumn>
    <tableColumn id="17" xr3:uid="{7BD8E503-C25D-4854-A192-BACF9D9EE4D9}" name="Hond" dataDxfId="75">
      <calculatedColumnFormula>IFERROR(VLOOKUP(Tabel42372[[#This Row],[SN]],Deelnemers[#All],4,0),"")</calculatedColumnFormula>
    </tableColumn>
    <tableColumn id="18" xr3:uid="{EAC22C41-93A2-4DDB-893B-AA998800E4F2}" name="Hoogte" dataDxfId="74">
      <calculatedColumnFormula>IFERROR(VLOOKUP(Tabel42372[[#This Row],[SN]],Deelnemers[#All],6,0),0)</calculatedColumnFormula>
    </tableColumn>
    <tableColumn id="11" xr3:uid="{C09F1F78-21CB-41F6-8D23-3F237D3DE0AD}" name="SN" dataDxfId="73"/>
    <tableColumn id="4" xr3:uid="{45EEB84A-3A2E-4CED-979F-DA22468B2C11}" name="Tijd" dataDxfId="72"/>
    <tableColumn id="5" xr3:uid="{25BA8F3E-F6BF-45FB-BCAD-2C235BFA38C8}" name="W" dataDxfId="71"/>
    <tableColumn id="6" xr3:uid="{C995BFD8-B098-45F7-B904-B0EAEA31E7F2}" name="A" dataDxfId="70"/>
    <tableColumn id="7" xr3:uid="{744127C0-26C5-41E9-A982-D2626EFCC3E5}" name="F" dataDxfId="69"/>
    <tableColumn id="8" xr3:uid="{C69EA7CA-DF8B-4668-9BA6-4A0887EEAF64}" name="Disk" dataDxfId="68"/>
    <tableColumn id="9" xr3:uid="{26D66BEC-DD62-4BBE-B92F-4ADC3B3CD956}" name="Score" dataDxfId="67">
      <calculatedColumnFormula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calculatedColumnFormula>
    </tableColumn>
    <tableColumn id="1" xr3:uid="{757C6482-C89E-416A-9D01-5F441590FAEF}" name="m/s" dataDxfId="66">
      <calculatedColumnFormula>IFERROR(PRODUCT($F$4,1/Tabel42372[[#This Row],[Tijd]]),0)</calculatedColumnFormula>
    </tableColumn>
    <tableColumn id="20" xr3:uid="{F120E23C-A9EB-490D-8826-0992D5F4084F}" name="Fouten">
      <calculatedColumnFormula>SUM(Tabel42372[[#This Row],[W]],Tabel42372[[#This Row],[A]],Tabel42372[[#This Row],[F]])*5</calculatedColumnFormula>
    </tableColumn>
    <tableColumn id="10" xr3:uid="{1B95574E-9588-41AF-B6AD-42CA5846D7F3}" name="Sorteren" dataDxfId="65">
      <calculatedColumnFormula>TEXT(Tabel42372[[#This Row],[Score]],"00,00")&amp;TEXT(Tabel42372[[#This Row],[Fouten]],"00")&amp;TEXT(Tabel42372[[#This Row],[Tijd]],"00,000")</calculatedColumnFormula>
    </tableColumn>
    <tableColumn id="22" xr3:uid="{4D871993-986F-45D4-B203-21726019CB25}" name="Waarschuwing" dataDxfId="64">
      <calculatedColumnFormula>IF(IFERROR(VLOOKUP(Tabel42372[[#This Row],[SN]],Deelnemers[#All],7,0),0)&lt;&gt;$C$4,"Loopt niet in deze klasse!",IF(COUNTIF(Tabel42372[SN],Tabel42372[[#This Row],[SN]])&gt;1,"Dubbel",""))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4B1317-5CD6-48F3-86C5-779FA9668E1F}" name="Tabel423723" displayName="Tabel423723" ref="A7:Q20" totalsRowShown="0" headerRowDxfId="63">
  <autoFilter ref="A7:Q20" xr:uid="{00000000-0009-0000-0100-000006000000}"/>
  <sortState xmlns:xlrd2="http://schemas.microsoft.com/office/spreadsheetml/2017/richdata2" ref="A8:Q20">
    <sortCondition ref="P7:P20"/>
  </sortState>
  <tableColumns count="17">
    <tableColumn id="3" xr3:uid="{6F0A9B91-437B-4CCF-9188-C447CC2F1E0A}" name="LicNr" dataDxfId="62">
      <calculatedColumnFormula>IFERROR(VLOOKUP(Tabel423723[[#This Row],[SN]],Deelnemers[#All],2,0),"")</calculatedColumnFormula>
    </tableColumn>
    <tableColumn id="19" xr3:uid="{7446AA37-0A5F-410F-ABD3-7761E9027BC7}" name="Plaats" dataDxfId="61">
      <calculatedColumnFormula>IF(Tabel423723[[#This Row],[Score]]="Disk",0,IF(VLOOKUP(Tabel423723[[#This Row],[SN]],Deelnemers[#All],8,0)&gt;0,"BM",MATCH(Tabel423723[[#This Row],[Sorteren]],Tabel423723[Sorteren],0)-COUNTIF($B$7:$B7,"BM")))</calculatedColumnFormula>
    </tableColumn>
    <tableColumn id="21" xr3:uid="{9F32C7F1-3F65-4E92-8A18-D3B61EA08A8A}" name="Punten"/>
    <tableColumn id="16" xr3:uid="{FC745261-4482-4253-8E7B-7819D95D510F}" name="Handler" dataDxfId="60">
      <calculatedColumnFormula>IFERROR(VLOOKUP(Tabel423723[[#This Row],[SN]],Deelnemers[#All],3,0),"")</calculatedColumnFormula>
    </tableColumn>
    <tableColumn id="17" xr3:uid="{7AB7519E-47E3-454E-ABCD-9F11CF8C6F6C}" name="Hond" dataDxfId="59">
      <calculatedColumnFormula>IFERROR(VLOOKUP(Tabel423723[[#This Row],[SN]],Deelnemers[#All],4,0),"")</calculatedColumnFormula>
    </tableColumn>
    <tableColumn id="18" xr3:uid="{FD3D07AC-8283-429E-9514-D2C7D3325B14}" name="Hoogte" dataDxfId="58">
      <calculatedColumnFormula>IFERROR(VLOOKUP(Tabel423723[[#This Row],[SN]],Deelnemers[#All],6,0),0)</calculatedColumnFormula>
    </tableColumn>
    <tableColumn id="11" xr3:uid="{DB4C2837-56B4-4304-B68A-AF94A9D95DA8}" name="SN" dataDxfId="57"/>
    <tableColumn id="4" xr3:uid="{BFC61A6C-7847-4207-A07F-BCFCE1407C05}" name="Tijd" dataDxfId="56"/>
    <tableColumn id="5" xr3:uid="{96E1D409-33AB-49D8-94F7-4023F8EE1034}" name="W" dataDxfId="55"/>
    <tableColumn id="6" xr3:uid="{CB847B97-AA8C-40AE-AF75-7D2A851E9939}" name="A" dataDxfId="54"/>
    <tableColumn id="7" xr3:uid="{175F1683-C29C-476D-8555-B9D729333F01}" name="F" dataDxfId="53"/>
    <tableColumn id="8" xr3:uid="{8018477D-6BE1-45F8-A683-733503192AA3}" name="Disk" dataDxfId="52"/>
    <tableColumn id="9" xr3:uid="{6A71ED51-571D-41CE-88BF-2391021FC33F}" name="Score" dataDxfId="51">
      <calculatedColumnFormula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calculatedColumnFormula>
    </tableColumn>
    <tableColumn id="1" xr3:uid="{113CF47C-CE52-41DB-A737-62E64BD28A52}" name="m/s" dataDxfId="50">
      <calculatedColumnFormula>IFERROR(PRODUCT($F$4,1/Tabel423723[[#This Row],[Tijd]]),0)</calculatedColumnFormula>
    </tableColumn>
    <tableColumn id="20" xr3:uid="{20554410-4A64-44E0-8B7C-99CEDB4E1FD7}" name="Fouten">
      <calculatedColumnFormula>SUM(Tabel423723[[#This Row],[W]],Tabel423723[[#This Row],[A]],Tabel423723[[#This Row],[F]])*5</calculatedColumnFormula>
    </tableColumn>
    <tableColumn id="10" xr3:uid="{658EB272-B2E7-4AEE-A92E-40EF8B8298F6}" name="Sorteren" dataDxfId="49">
      <calculatedColumnFormula>TEXT(Tabel423723[[#This Row],[Score]],"00,00")&amp;TEXT(Tabel423723[[#This Row],[Fouten]],"00")&amp;TEXT(Tabel423723[[#This Row],[Tijd]],"00,000")</calculatedColumnFormula>
    </tableColumn>
    <tableColumn id="22" xr3:uid="{D3064ABE-BDAD-46DC-9B26-A2439FB80EC0}" name="Waarschuwing" dataDxfId="48">
      <calculatedColumnFormula>IF(IFERROR(VLOOKUP(Tabel423723[[#This Row],[SN]],Deelnemers[#All],7,0),0)&lt;&gt;$C$4,"Loopt niet in deze klasse!",IF(COUNTIF(Tabel423723[SN],Tabel423723[[#This Row],[SN]])&gt;1,"Dubbel",""))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74BF13-308A-423F-BDE2-C7C5D0D3B7D6}" name="Tabel4237235" displayName="Tabel4237235" ref="A7:Q12" totalsRowShown="0" headerRowDxfId="47">
  <autoFilter ref="A7:Q12" xr:uid="{00000000-0009-0000-0100-000006000000}"/>
  <sortState xmlns:xlrd2="http://schemas.microsoft.com/office/spreadsheetml/2017/richdata2" ref="A8:Q12">
    <sortCondition ref="P7:P12"/>
  </sortState>
  <tableColumns count="17">
    <tableColumn id="3" xr3:uid="{A86C0F73-38AD-449C-BD27-6CC8B07FAB6B}" name="LicNr" dataDxfId="46">
      <calculatedColumnFormula>IFERROR(VLOOKUP(Tabel4237235[[#This Row],[SN]],Deelnemers[#All],2,0),"")</calculatedColumnFormula>
    </tableColumn>
    <tableColumn id="19" xr3:uid="{9EF0AE4A-F8BE-457C-A58B-C687FFE5B34B}" name="Plaats" dataDxfId="45">
      <calculatedColumnFormula>IF(Tabel4237235[[#This Row],[Score]]="Disk",0,IF(VLOOKUP(Tabel4237235[[#This Row],[SN]],Deelnemers[#All],8,0)&gt;0,"BM",MATCH(Tabel4237235[[#This Row],[Sorteren]],Tabel4237235[Sorteren],0)-COUNTIF($B$7:$B7,"BM")))</calculatedColumnFormula>
    </tableColumn>
    <tableColumn id="21" xr3:uid="{3FF72298-3494-4C0F-942C-57799A5F91C1}" name="Punten"/>
    <tableColumn id="16" xr3:uid="{D3493B63-378B-47E2-98C3-E02A6E20EF86}" name="Handler" dataDxfId="44">
      <calculatedColumnFormula>IFERROR(VLOOKUP(Tabel4237235[[#This Row],[SN]],Deelnemers[#All],3,0),"")</calculatedColumnFormula>
    </tableColumn>
    <tableColumn id="17" xr3:uid="{3D7EE8F9-50D2-46AC-86A2-B538CB97D077}" name="Hond" dataDxfId="43">
      <calculatedColumnFormula>IFERROR(VLOOKUP(Tabel4237235[[#This Row],[SN]],Deelnemers[#All],4,0),"")</calculatedColumnFormula>
    </tableColumn>
    <tableColumn id="18" xr3:uid="{34520866-5286-4CF8-9A6A-ACA11D5F4894}" name="Hoogte" dataDxfId="42">
      <calculatedColumnFormula>IFERROR(VLOOKUP(Tabel4237235[[#This Row],[SN]],Deelnemers[#All],6,0),0)</calculatedColumnFormula>
    </tableColumn>
    <tableColumn id="11" xr3:uid="{1410DCBF-9CDE-4A30-9B52-F9FE17392F3B}" name="SN" dataDxfId="41"/>
    <tableColumn id="4" xr3:uid="{0AA9AE05-DC24-4651-838D-7CCAE08D0B1A}" name="Tijd" dataDxfId="40"/>
    <tableColumn id="5" xr3:uid="{9A89D790-7729-4953-8AE8-4CB297AE660D}" name="W" dataDxfId="39"/>
    <tableColumn id="6" xr3:uid="{3CF83444-6F10-4236-8B5F-A3DB7D4F733D}" name="A" dataDxfId="38"/>
    <tableColumn id="7" xr3:uid="{29B7C338-442B-4445-8005-A1D15197B7FD}" name="F" dataDxfId="37"/>
    <tableColumn id="8" xr3:uid="{608A9071-2000-46E2-BA7D-97AB244825AD}" name="Disk" dataDxfId="36"/>
    <tableColumn id="9" xr3:uid="{B76C828F-EB52-455F-BB90-56B21F768CBA}" name="Score" dataDxfId="35">
      <calculatedColumnFormula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calculatedColumnFormula>
    </tableColumn>
    <tableColumn id="1" xr3:uid="{FB49F5DC-668F-4794-B804-45D363E0A76D}" name="m/s" dataDxfId="34">
      <calculatedColumnFormula>IFERROR(PRODUCT($F$4,1/Tabel4237235[[#This Row],[Tijd]]),0)</calculatedColumnFormula>
    </tableColumn>
    <tableColumn id="20" xr3:uid="{033B6AA8-B380-4079-AB9D-9F3DBD7DA8A7}" name="Fouten">
      <calculatedColumnFormula>SUM(Tabel4237235[[#This Row],[W]],Tabel4237235[[#This Row],[A]],Tabel4237235[[#This Row],[F]])*5</calculatedColumnFormula>
    </tableColumn>
    <tableColumn id="10" xr3:uid="{DA72FD1B-4ADB-4A6D-B077-A8E77B165509}" name="Sorteren" dataDxfId="33">
      <calculatedColumnFormula>TEXT(Tabel4237235[[#This Row],[Score]],"00,00")&amp;TEXT(Tabel4237235[[#This Row],[Fouten]],"00")&amp;TEXT(Tabel4237235[[#This Row],[Tijd]],"00,000")</calculatedColumnFormula>
    </tableColumn>
    <tableColumn id="22" xr3:uid="{CDFA0944-5494-4476-A0C9-71083532CF62}" name="Waarschuwing" dataDxfId="32">
      <calculatedColumnFormula>IF(IFERROR(VLOOKUP(Tabel4237235[[#This Row],[SN]],Deelnemers[#All],7,0),0)&lt;&gt;$C$4,"Loopt niet in deze klasse!",IF(COUNTIF(Tabel4237235[SN],Tabel4237235[[#This Row],[SN]])&gt;1,"Dubbel",""))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503EBB-6B3C-4992-89E6-0CF042449A13}" name="Tabel42372356" displayName="Tabel42372356" ref="A7:Q12" totalsRowShown="0" headerRowDxfId="31">
  <autoFilter ref="A7:Q12" xr:uid="{00000000-0009-0000-0100-000006000000}"/>
  <sortState xmlns:xlrd2="http://schemas.microsoft.com/office/spreadsheetml/2017/richdata2" ref="A8:Q12">
    <sortCondition ref="P7:P12"/>
  </sortState>
  <tableColumns count="17">
    <tableColumn id="3" xr3:uid="{C516D964-043A-4792-A53B-B38919B72A7F}" name="LicNr" dataDxfId="30">
      <calculatedColumnFormula>IFERROR(VLOOKUP(Tabel42372356[[#This Row],[SN]],Deelnemers[#All],2,0),"")</calculatedColumnFormula>
    </tableColumn>
    <tableColumn id="19" xr3:uid="{78936F06-2E28-4793-9E1F-F14855B25146}" name="Plaats" dataDxfId="29">
      <calculatedColumnFormula>IF(Tabel42372356[[#This Row],[Score]]="Disk",0,IF(VLOOKUP(Tabel42372356[[#This Row],[SN]],Deelnemers[#All],8,0)&gt;0,"BM",MATCH(Tabel42372356[[#This Row],[Sorteren]],Tabel42372356[Sorteren],0)-COUNTIF($B$7:$B7,"BM")))</calculatedColumnFormula>
    </tableColumn>
    <tableColumn id="21" xr3:uid="{F1D8ED95-80F3-45E1-96EF-135B65CF901F}" name="Punten"/>
    <tableColumn id="16" xr3:uid="{C801D6AB-B2BC-4D97-982E-8208504EAB40}" name="Handler" dataDxfId="28">
      <calculatedColumnFormula>IFERROR(VLOOKUP(Tabel42372356[[#This Row],[SN]],Deelnemers[#All],3,0),"")</calculatedColumnFormula>
    </tableColumn>
    <tableColumn id="17" xr3:uid="{4659EA84-38E0-413E-B467-0BF19B1E8911}" name="Hond" dataDxfId="27">
      <calculatedColumnFormula>IFERROR(VLOOKUP(Tabel42372356[[#This Row],[SN]],Deelnemers[#All],4,0),"")</calculatedColumnFormula>
    </tableColumn>
    <tableColumn id="18" xr3:uid="{FB8E7DCD-5734-4775-8AB8-CFDE32E81A77}" name="Hoogte" dataDxfId="26">
      <calculatedColumnFormula>IFERROR(VLOOKUP(Tabel42372356[[#This Row],[SN]],Deelnemers[#All],6,0),0)</calculatedColumnFormula>
    </tableColumn>
    <tableColumn id="11" xr3:uid="{79D0A24E-A26E-4073-84B1-6D70FADF82AC}" name="SN" dataDxfId="25"/>
    <tableColumn id="4" xr3:uid="{ECBDF3A1-1C18-45BF-B9A9-4815B72E7FCE}" name="Tijd" dataDxfId="24"/>
    <tableColumn id="5" xr3:uid="{352CE13D-0A88-480B-9649-DF778B625B94}" name="W" dataDxfId="23"/>
    <tableColumn id="6" xr3:uid="{FDA5D986-4B1A-42AA-AE13-297C2E25A6C3}" name="A" dataDxfId="22"/>
    <tableColumn id="7" xr3:uid="{0FF88376-22AE-4B83-9DB1-B68417713F00}" name="F" dataDxfId="21"/>
    <tableColumn id="8" xr3:uid="{AE6B922E-32D4-43ED-AC64-D8A768F15009}" name="Disk" dataDxfId="20"/>
    <tableColumn id="9" xr3:uid="{51CC5BC6-7492-493C-99A5-01C26ECAD86A}" name="Score" dataDxfId="19">
      <calculatedColumnFormula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calculatedColumnFormula>
    </tableColumn>
    <tableColumn id="1" xr3:uid="{10ED756B-6DD5-486B-848F-E4D991A01BD5}" name="m/s" dataDxfId="18">
      <calculatedColumnFormula>IFERROR(PRODUCT($F$4,1/Tabel42372356[[#This Row],[Tijd]]),0)</calculatedColumnFormula>
    </tableColumn>
    <tableColumn id="20" xr3:uid="{A6F22A0F-206B-479D-AA2D-12C7599B171A}" name="Fouten">
      <calculatedColumnFormula>SUM(Tabel42372356[[#This Row],[W]],Tabel42372356[[#This Row],[A]],Tabel42372356[[#This Row],[F]])*5</calculatedColumnFormula>
    </tableColumn>
    <tableColumn id="10" xr3:uid="{8CF7C6EA-F8EF-478C-88D8-5D61C2EB592C}" name="Sorteren" dataDxfId="17">
      <calculatedColumnFormula>TEXT(Tabel42372356[[#This Row],[Score]],"00,00")&amp;TEXT(Tabel42372356[[#This Row],[Fouten]],"00")&amp;TEXT(Tabel42372356[[#This Row],[Tijd]],"00,000")</calculatedColumnFormula>
    </tableColumn>
    <tableColumn id="22" xr3:uid="{A8FFF954-2C60-4E39-877E-CB091E1E2667}" name="Waarschuwing" dataDxfId="16">
      <calculatedColumnFormula>IF(IFERROR(VLOOKUP(Tabel42372356[[#This Row],[SN]],Deelnemers[#All],7,0),0)&lt;&gt;$C$4,"Loopt niet in deze klasse!",IF(COUNTIF(Tabel42372356[SN],Tabel42372356[[#This Row],[SN]])&gt;1,"Dubbel",""))</calculatedColumnFormula>
    </tableColumn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C9C6563-5212-474E-8CF7-858A18F77328}" name="Tabel423723567" displayName="Tabel423723567" ref="A7:Q18" totalsRowShown="0" headerRowDxfId="15">
  <autoFilter ref="A7:Q18" xr:uid="{00000000-0009-0000-0100-000006000000}"/>
  <sortState xmlns:xlrd2="http://schemas.microsoft.com/office/spreadsheetml/2017/richdata2" ref="A8:Q18">
    <sortCondition ref="P7:P18"/>
  </sortState>
  <tableColumns count="17">
    <tableColumn id="3" xr3:uid="{233C63B2-C029-4F26-8490-668CBA2644DF}" name="LicNr" dataDxfId="14">
      <calculatedColumnFormula>IFERROR(VLOOKUP(Tabel423723567[[#This Row],[SN]],Deelnemers[#All],2,0),"")</calculatedColumnFormula>
    </tableColumn>
    <tableColumn id="19" xr3:uid="{D3067954-2D22-462C-ABB0-1BC8A2501232}" name="Plaats" dataDxfId="13">
      <calculatedColumnFormula>IF(Tabel423723567[[#This Row],[Score]]="Disk",0,IF(VLOOKUP(Tabel423723567[[#This Row],[SN]],Deelnemers[#All],8,0)&gt;0,"BM",MATCH(Tabel423723567[[#This Row],[Sorteren]],Tabel423723567[Sorteren],0)-COUNTIF($B$7:$B7,"BM")))</calculatedColumnFormula>
    </tableColumn>
    <tableColumn id="21" xr3:uid="{07996BAF-ADA2-4658-9B57-42DD81B8967D}" name="Punten"/>
    <tableColumn id="16" xr3:uid="{36358E50-4E11-4A9C-8D69-E83A39E1FAE5}" name="Handler" dataDxfId="12">
      <calculatedColumnFormula>IFERROR(VLOOKUP(Tabel423723567[[#This Row],[SN]],Deelnemers[#All],3,0),"")</calculatedColumnFormula>
    </tableColumn>
    <tableColumn id="17" xr3:uid="{0F71EB7B-72F2-43CA-B721-87064181893B}" name="Hond" dataDxfId="11">
      <calculatedColumnFormula>IFERROR(VLOOKUP(Tabel423723567[[#This Row],[SN]],Deelnemers[#All],4,0),"")</calculatedColumnFormula>
    </tableColumn>
    <tableColumn id="18" xr3:uid="{9DB7E81E-0C56-47C1-8F91-7C2FC6F20B2B}" name="Hoogte" dataDxfId="10">
      <calculatedColumnFormula>IFERROR(VLOOKUP(Tabel423723567[[#This Row],[SN]],Deelnemers[#All],6,0),0)</calculatedColumnFormula>
    </tableColumn>
    <tableColumn id="11" xr3:uid="{F4B61E75-5831-4638-ACF6-B334D97B771F}" name="SN" dataDxfId="9"/>
    <tableColumn id="4" xr3:uid="{7D190497-A669-4B46-BD89-9E6CC50DB33A}" name="Tijd" dataDxfId="8"/>
    <tableColumn id="5" xr3:uid="{0A236D94-97AE-4225-B9D1-B8DF4E197CD8}" name="W" dataDxfId="7"/>
    <tableColumn id="6" xr3:uid="{9E71C36F-68FC-406E-A1E2-BB9C67562A89}" name="A" dataDxfId="6"/>
    <tableColumn id="7" xr3:uid="{5C1CC6D5-6F1A-466E-AF37-9B15B16B31BE}" name="F" dataDxfId="5"/>
    <tableColumn id="8" xr3:uid="{AAE6AE13-9BF9-4A01-9F9A-A7E594480DF2}" name="Disk" dataDxfId="4"/>
    <tableColumn id="9" xr3:uid="{63CD4818-3807-4728-B589-84EADAA62903}" name="Score" dataDxfId="3">
      <calculatedColumnFormula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calculatedColumnFormula>
    </tableColumn>
    <tableColumn id="1" xr3:uid="{F82F102C-8494-414A-A76C-658E92A0A07B}" name="m/s" dataDxfId="2">
      <calculatedColumnFormula>IFERROR(PRODUCT($F$4,1/Tabel423723567[[#This Row],[Tijd]]),0)</calculatedColumnFormula>
    </tableColumn>
    <tableColumn id="20" xr3:uid="{4E3225B3-49C1-41A5-985D-00AC8A71D11F}" name="Fouten">
      <calculatedColumnFormula>SUM(Tabel423723567[[#This Row],[W]],Tabel423723567[[#This Row],[A]],Tabel423723567[[#This Row],[F]])*5</calculatedColumnFormula>
    </tableColumn>
    <tableColumn id="10" xr3:uid="{892410CD-4217-4A7A-BDB6-5988099366E3}" name="Sorteren" dataDxfId="1">
      <calculatedColumnFormula>TEXT(Tabel423723567[[#This Row],[Score]],"00,00")&amp;TEXT(Tabel423723567[[#This Row],[Fouten]],"00")&amp;TEXT(Tabel423723567[[#This Row],[Tijd]],"00,000")</calculatedColumnFormula>
    </tableColumn>
    <tableColumn id="22" xr3:uid="{0C5C7352-A4AA-46C6-A581-B9146DCA65DD}" name="Waarschuwing" dataDxfId="0">
      <calculatedColumnFormula>IF(IFERROR(VLOOKUP(Tabel423723567[[#This Row],[SN]],Deelnemers[#All],7,0),0)&lt;&gt;$C$4,"Loopt niet in deze klasse!",IF(COUNTIF(Tabel423723567[SN],Tabel423723567[[#This Row],[SN]])&gt;1,"Dubbel",""))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6"/>
  <sheetViews>
    <sheetView workbookViewId="0">
      <selection activeCell="C22" sqref="C22"/>
    </sheetView>
  </sheetViews>
  <sheetFormatPr defaultRowHeight="15.6" x14ac:dyDescent="0.3"/>
  <cols>
    <col min="1" max="1" width="9" style="2"/>
  </cols>
  <sheetData>
    <row r="1" spans="1:1" x14ac:dyDescent="0.3">
      <c r="A1" s="13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  <row r="7" spans="1:1" x14ac:dyDescent="0.3">
      <c r="A7" s="13" t="s">
        <v>5</v>
      </c>
    </row>
    <row r="9" spans="1:1" x14ac:dyDescent="0.3">
      <c r="A9" s="13" t="s">
        <v>6</v>
      </c>
    </row>
    <row r="10" spans="1:1" x14ac:dyDescent="0.3">
      <c r="A10" s="2" t="s">
        <v>7</v>
      </c>
    </row>
    <row r="12" spans="1:1" x14ac:dyDescent="0.3">
      <c r="A12" s="1" t="s">
        <v>8</v>
      </c>
    </row>
    <row r="13" spans="1:1" x14ac:dyDescent="0.3">
      <c r="A13" t="s">
        <v>9</v>
      </c>
    </row>
    <row r="14" spans="1:1" x14ac:dyDescent="0.3">
      <c r="A14" t="s">
        <v>10</v>
      </c>
    </row>
    <row r="15" spans="1:1" x14ac:dyDescent="0.3">
      <c r="A15" t="s">
        <v>11</v>
      </c>
    </row>
    <row r="16" spans="1:1" x14ac:dyDescent="0.3">
      <c r="A16" s="8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B13" sqref="B13"/>
    </sheetView>
  </sheetViews>
  <sheetFormatPr defaultColWidth="11" defaultRowHeight="15.6" x14ac:dyDescent="0.3"/>
  <cols>
    <col min="1" max="1" width="22.3984375" customWidth="1"/>
    <col min="2" max="2" width="12.3984375" bestFit="1" customWidth="1"/>
  </cols>
  <sheetData>
    <row r="1" spans="1:2" s="1" customFormat="1" x14ac:dyDescent="0.3">
      <c r="A1" s="1" t="s">
        <v>13</v>
      </c>
      <c r="B1" s="1" t="s">
        <v>14</v>
      </c>
    </row>
    <row r="2" spans="1:2" x14ac:dyDescent="0.3">
      <c r="A2" t="s">
        <v>15</v>
      </c>
      <c r="B2" t="s">
        <v>16</v>
      </c>
    </row>
    <row r="3" spans="1:2" x14ac:dyDescent="0.3">
      <c r="A3" t="s">
        <v>17</v>
      </c>
      <c r="B3" t="s">
        <v>18</v>
      </c>
    </row>
    <row r="4" spans="1:2" x14ac:dyDescent="0.3">
      <c r="A4" t="s">
        <v>19</v>
      </c>
      <c r="B4" t="s">
        <v>20</v>
      </c>
    </row>
    <row r="5" spans="1:2" x14ac:dyDescent="0.3">
      <c r="A5" t="s">
        <v>66</v>
      </c>
      <c r="B5" t="s">
        <v>21</v>
      </c>
    </row>
    <row r="6" spans="1:2" x14ac:dyDescent="0.3">
      <c r="A6" t="s">
        <v>22</v>
      </c>
      <c r="B6" t="s">
        <v>23</v>
      </c>
    </row>
    <row r="7" spans="1:2" x14ac:dyDescent="0.3">
      <c r="A7" t="s">
        <v>24</v>
      </c>
      <c r="B7" t="s">
        <v>25</v>
      </c>
    </row>
    <row r="8" spans="1:2" x14ac:dyDescent="0.3">
      <c r="A8" t="s">
        <v>26</v>
      </c>
      <c r="B8" t="s">
        <v>27</v>
      </c>
    </row>
    <row r="9" spans="1:2" x14ac:dyDescent="0.3">
      <c r="A9" t="s">
        <v>64</v>
      </c>
      <c r="B9" t="s">
        <v>20</v>
      </c>
    </row>
    <row r="10" spans="1:2" x14ac:dyDescent="0.3">
      <c r="A10" t="s">
        <v>65</v>
      </c>
      <c r="B10" s="2"/>
    </row>
    <row r="11" spans="1:2" x14ac:dyDescent="0.3">
      <c r="A11" t="s">
        <v>68</v>
      </c>
      <c r="B11" s="2"/>
    </row>
    <row r="12" spans="1:2" x14ac:dyDescent="0.3">
      <c r="A12" t="s">
        <v>69</v>
      </c>
      <c r="B12" s="2"/>
    </row>
    <row r="13" spans="1:2" x14ac:dyDescent="0.3">
      <c r="A13" t="s">
        <v>70</v>
      </c>
      <c r="B13" s="2"/>
    </row>
    <row r="14" spans="1:2" x14ac:dyDescent="0.3">
      <c r="B14" s="2"/>
    </row>
    <row r="15" spans="1:2" x14ac:dyDescent="0.3">
      <c r="B15" s="2"/>
    </row>
    <row r="16" spans="1:2" x14ac:dyDescent="0.3">
      <c r="B16" s="2"/>
    </row>
    <row r="17" spans="1:2" x14ac:dyDescent="0.3">
      <c r="B17" s="2"/>
    </row>
    <row r="18" spans="1:2" x14ac:dyDescent="0.3">
      <c r="A18" s="2"/>
    </row>
    <row r="19" spans="1:2" x14ac:dyDescent="0.3">
      <c r="A19" s="2"/>
    </row>
    <row r="20" spans="1:2" x14ac:dyDescent="0.3">
      <c r="A20" s="2"/>
    </row>
    <row r="21" spans="1:2" x14ac:dyDescent="0.3">
      <c r="A21" s="2"/>
    </row>
    <row r="22" spans="1:2" x14ac:dyDescent="0.3">
      <c r="A22" s="2"/>
    </row>
    <row r="23" spans="1:2" x14ac:dyDescent="0.3">
      <c r="A23" s="2"/>
    </row>
    <row r="24" spans="1:2" x14ac:dyDescent="0.3">
      <c r="A24" s="2"/>
    </row>
    <row r="25" spans="1:2" x14ac:dyDescent="0.3">
      <c r="A25" s="2"/>
    </row>
    <row r="26" spans="1:2" x14ac:dyDescent="0.3">
      <c r="A26" s="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6"/>
  <sheetViews>
    <sheetView topLeftCell="A40" workbookViewId="0">
      <selection activeCell="A45" sqref="A45:A57"/>
    </sheetView>
  </sheetViews>
  <sheetFormatPr defaultColWidth="17.59765625" defaultRowHeight="15.6" x14ac:dyDescent="0.3"/>
  <cols>
    <col min="1" max="1" width="6.3984375" style="2" customWidth="1"/>
    <col min="2" max="2" width="10.09765625" style="2" customWidth="1"/>
    <col min="3" max="3" width="27" style="2" customWidth="1"/>
    <col min="4" max="4" width="17.59765625" style="2"/>
    <col min="5" max="5" width="13.5" style="2" bestFit="1" customWidth="1"/>
    <col min="6" max="6" width="17.59765625" style="2" customWidth="1"/>
    <col min="7" max="7" width="17.59765625" style="2"/>
  </cols>
  <sheetData>
    <row r="1" spans="1:8" x14ac:dyDescent="0.3">
      <c r="A1" t="s">
        <v>28</v>
      </c>
      <c r="B1"/>
      <c r="C1"/>
      <c r="D1"/>
      <c r="E1"/>
      <c r="F1"/>
      <c r="G1"/>
      <c r="H1" t="s">
        <v>29</v>
      </c>
    </row>
    <row r="2" spans="1:8" x14ac:dyDescent="0.3">
      <c r="A2"/>
      <c r="B2"/>
      <c r="C2"/>
      <c r="D2"/>
      <c r="E2"/>
      <c r="F2"/>
      <c r="G2"/>
    </row>
    <row r="3" spans="1:8" x14ac:dyDescent="0.3">
      <c r="A3" t="s">
        <v>30</v>
      </c>
      <c r="B3" t="s">
        <v>31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  <c r="H3" t="s">
        <v>37</v>
      </c>
    </row>
    <row r="4" spans="1:8" x14ac:dyDescent="0.3">
      <c r="A4" s="24">
        <v>1</v>
      </c>
      <c r="B4" s="24">
        <v>2024015</v>
      </c>
      <c r="C4" s="24" t="s">
        <v>71</v>
      </c>
      <c r="D4" s="24" t="s">
        <v>72</v>
      </c>
      <c r="E4" s="21"/>
      <c r="F4" s="24" t="s">
        <v>75</v>
      </c>
      <c r="G4" s="25" t="s">
        <v>15</v>
      </c>
      <c r="H4" s="2"/>
    </row>
    <row r="5" spans="1:8" x14ac:dyDescent="0.3">
      <c r="A5" s="24">
        <v>2</v>
      </c>
      <c r="B5" s="24">
        <v>2023030</v>
      </c>
      <c r="C5" s="24" t="s">
        <v>73</v>
      </c>
      <c r="D5" s="24" t="s">
        <v>74</v>
      </c>
      <c r="E5" s="21"/>
      <c r="F5" s="24" t="s">
        <v>75</v>
      </c>
      <c r="G5" s="25" t="s">
        <v>15</v>
      </c>
      <c r="H5" s="2"/>
    </row>
    <row r="6" spans="1:8" x14ac:dyDescent="0.3">
      <c r="A6" s="24">
        <v>3</v>
      </c>
      <c r="B6" s="24">
        <v>2024033</v>
      </c>
      <c r="C6" s="24" t="s">
        <v>76</v>
      </c>
      <c r="D6" s="24" t="s">
        <v>77</v>
      </c>
      <c r="E6" s="21"/>
      <c r="F6" s="24" t="s">
        <v>75</v>
      </c>
      <c r="G6" s="25" t="s">
        <v>15</v>
      </c>
      <c r="H6" s="2"/>
    </row>
    <row r="7" spans="1:8" x14ac:dyDescent="0.3">
      <c r="A7" s="24">
        <v>4</v>
      </c>
      <c r="B7" s="24">
        <v>2023012</v>
      </c>
      <c r="C7" s="24" t="s">
        <v>78</v>
      </c>
      <c r="D7" s="24" t="s">
        <v>79</v>
      </c>
      <c r="E7" s="21"/>
      <c r="F7" s="24" t="s">
        <v>75</v>
      </c>
      <c r="G7" s="25" t="s">
        <v>15</v>
      </c>
      <c r="H7" s="2"/>
    </row>
    <row r="8" spans="1:8" x14ac:dyDescent="0.3">
      <c r="A8" s="24">
        <v>5</v>
      </c>
      <c r="B8" s="24">
        <v>2022011</v>
      </c>
      <c r="C8" s="24" t="s">
        <v>80</v>
      </c>
      <c r="D8" s="24" t="s">
        <v>81</v>
      </c>
      <c r="E8" s="21"/>
      <c r="F8" s="24" t="s">
        <v>75</v>
      </c>
      <c r="G8" s="25" t="s">
        <v>15</v>
      </c>
      <c r="H8" s="2"/>
    </row>
    <row r="9" spans="1:8" x14ac:dyDescent="0.3">
      <c r="A9" s="24">
        <v>6</v>
      </c>
      <c r="B9" s="24">
        <v>2024016</v>
      </c>
      <c r="C9" s="24" t="s">
        <v>82</v>
      </c>
      <c r="D9" s="24" t="s">
        <v>83</v>
      </c>
      <c r="E9" s="21"/>
      <c r="F9" s="24" t="s">
        <v>75</v>
      </c>
      <c r="G9" s="25" t="s">
        <v>15</v>
      </c>
      <c r="H9" s="2"/>
    </row>
    <row r="10" spans="1:8" x14ac:dyDescent="0.3">
      <c r="A10" s="24">
        <v>7</v>
      </c>
      <c r="B10" s="24">
        <v>2023083</v>
      </c>
      <c r="C10" s="24" t="s">
        <v>89</v>
      </c>
      <c r="D10" s="24" t="s">
        <v>90</v>
      </c>
      <c r="E10" s="21"/>
      <c r="F10" s="24" t="s">
        <v>75</v>
      </c>
      <c r="G10" s="25" t="s">
        <v>15</v>
      </c>
      <c r="H10" s="2"/>
    </row>
    <row r="11" spans="1:8" x14ac:dyDescent="0.3">
      <c r="A11" s="24">
        <v>8</v>
      </c>
      <c r="B11" s="24">
        <v>2019050</v>
      </c>
      <c r="C11" s="24" t="s">
        <v>84</v>
      </c>
      <c r="D11" s="24" t="s">
        <v>85</v>
      </c>
      <c r="E11" s="21"/>
      <c r="F11" s="24" t="s">
        <v>88</v>
      </c>
      <c r="G11" s="25" t="s">
        <v>15</v>
      </c>
      <c r="H11" s="2"/>
    </row>
    <row r="12" spans="1:8" x14ac:dyDescent="0.3">
      <c r="A12" s="24">
        <v>9</v>
      </c>
      <c r="B12" s="24">
        <v>2023084</v>
      </c>
      <c r="C12" s="24" t="s">
        <v>86</v>
      </c>
      <c r="D12" s="24" t="s">
        <v>87</v>
      </c>
      <c r="E12" s="21"/>
      <c r="F12" s="24" t="s">
        <v>88</v>
      </c>
      <c r="G12" s="25" t="s">
        <v>15</v>
      </c>
      <c r="H12" s="2"/>
    </row>
    <row r="13" spans="1:8" x14ac:dyDescent="0.3">
      <c r="A13" s="24">
        <v>10</v>
      </c>
      <c r="B13" s="24">
        <v>2023035</v>
      </c>
      <c r="C13" s="24" t="s">
        <v>91</v>
      </c>
      <c r="D13" s="24" t="s">
        <v>92</v>
      </c>
      <c r="E13" s="21"/>
      <c r="F13" s="24" t="s">
        <v>88</v>
      </c>
      <c r="G13" s="25" t="s">
        <v>15</v>
      </c>
      <c r="H13" s="2"/>
    </row>
    <row r="14" spans="1:8" x14ac:dyDescent="0.3">
      <c r="A14" s="24">
        <v>11</v>
      </c>
      <c r="B14" s="24">
        <v>2024014</v>
      </c>
      <c r="C14" s="24" t="s">
        <v>93</v>
      </c>
      <c r="D14" s="24" t="s">
        <v>94</v>
      </c>
      <c r="E14" s="21"/>
      <c r="F14" s="24" t="s">
        <v>88</v>
      </c>
      <c r="G14" s="25" t="s">
        <v>15</v>
      </c>
      <c r="H14" s="2"/>
    </row>
    <row r="15" spans="1:8" x14ac:dyDescent="0.3">
      <c r="A15" s="24">
        <v>12</v>
      </c>
      <c r="B15" s="24">
        <v>2023043</v>
      </c>
      <c r="C15" s="24" t="s">
        <v>95</v>
      </c>
      <c r="D15" s="24" t="s">
        <v>96</v>
      </c>
      <c r="E15" s="21"/>
      <c r="F15" s="24" t="s">
        <v>99</v>
      </c>
      <c r="G15" s="25" t="s">
        <v>17</v>
      </c>
      <c r="H15" s="2"/>
    </row>
    <row r="16" spans="1:8" x14ac:dyDescent="0.3">
      <c r="A16" s="24">
        <v>13</v>
      </c>
      <c r="B16" s="24">
        <v>2023053</v>
      </c>
      <c r="C16" s="24" t="s">
        <v>97</v>
      </c>
      <c r="D16" s="24" t="s">
        <v>98</v>
      </c>
      <c r="E16" s="21"/>
      <c r="F16" s="24" t="s">
        <v>99</v>
      </c>
      <c r="G16" s="25" t="s">
        <v>17</v>
      </c>
      <c r="H16" s="2"/>
    </row>
    <row r="17" spans="1:8" x14ac:dyDescent="0.3">
      <c r="A17" s="24">
        <v>14</v>
      </c>
      <c r="B17" s="24">
        <v>2022056</v>
      </c>
      <c r="C17" s="24" t="s">
        <v>100</v>
      </c>
      <c r="D17" s="24" t="s">
        <v>101</v>
      </c>
      <c r="E17" s="21"/>
      <c r="F17" s="24" t="s">
        <v>99</v>
      </c>
      <c r="G17" s="25" t="s">
        <v>17</v>
      </c>
      <c r="H17" s="2"/>
    </row>
    <row r="18" spans="1:8" x14ac:dyDescent="0.3">
      <c r="A18" s="24">
        <v>15</v>
      </c>
      <c r="B18" s="24">
        <v>2023060</v>
      </c>
      <c r="C18" s="24" t="s">
        <v>102</v>
      </c>
      <c r="D18" s="24" t="s">
        <v>103</v>
      </c>
      <c r="E18" s="21"/>
      <c r="F18" s="24" t="s">
        <v>99</v>
      </c>
      <c r="G18" s="25" t="s">
        <v>17</v>
      </c>
      <c r="H18" s="2"/>
    </row>
    <row r="19" spans="1:8" x14ac:dyDescent="0.3">
      <c r="A19" s="24">
        <v>16</v>
      </c>
      <c r="B19" s="24">
        <v>2024018</v>
      </c>
      <c r="C19" s="24" t="s">
        <v>104</v>
      </c>
      <c r="D19" s="24" t="s">
        <v>105</v>
      </c>
      <c r="E19" s="21"/>
      <c r="F19" s="24" t="s">
        <v>99</v>
      </c>
      <c r="G19" s="25" t="s">
        <v>17</v>
      </c>
      <c r="H19" s="2"/>
    </row>
    <row r="20" spans="1:8" x14ac:dyDescent="0.3">
      <c r="A20" s="24">
        <v>17</v>
      </c>
      <c r="B20" s="24">
        <v>2023033</v>
      </c>
      <c r="C20" s="24" t="s">
        <v>106</v>
      </c>
      <c r="D20" s="24" t="s">
        <v>107</v>
      </c>
      <c r="E20" s="21"/>
      <c r="F20" s="24" t="s">
        <v>108</v>
      </c>
      <c r="G20" s="25" t="s">
        <v>17</v>
      </c>
      <c r="H20" s="2"/>
    </row>
    <row r="21" spans="1:8" x14ac:dyDescent="0.3">
      <c r="A21" s="24">
        <v>18</v>
      </c>
      <c r="B21" s="24">
        <v>2024003</v>
      </c>
      <c r="C21" s="24" t="s">
        <v>109</v>
      </c>
      <c r="D21" s="24" t="s">
        <v>110</v>
      </c>
      <c r="E21" s="21"/>
      <c r="F21" s="24" t="s">
        <v>108</v>
      </c>
      <c r="G21" s="25" t="s">
        <v>17</v>
      </c>
      <c r="H21" s="2"/>
    </row>
    <row r="22" spans="1:8" x14ac:dyDescent="0.3">
      <c r="A22" s="24">
        <v>19</v>
      </c>
      <c r="B22" s="24">
        <v>2024004</v>
      </c>
      <c r="C22" s="24" t="s">
        <v>111</v>
      </c>
      <c r="D22" s="24" t="s">
        <v>112</v>
      </c>
      <c r="E22" s="21"/>
      <c r="F22" s="24" t="s">
        <v>108</v>
      </c>
      <c r="G22" s="25" t="s">
        <v>17</v>
      </c>
      <c r="H22" s="2"/>
    </row>
    <row r="23" spans="1:8" x14ac:dyDescent="0.3">
      <c r="A23" s="24">
        <v>20</v>
      </c>
      <c r="B23" s="24">
        <v>2023057</v>
      </c>
      <c r="C23" s="24" t="s">
        <v>113</v>
      </c>
      <c r="D23" s="24" t="s">
        <v>114</v>
      </c>
      <c r="E23" s="21"/>
      <c r="F23" s="24" t="s">
        <v>108</v>
      </c>
      <c r="G23" s="25" t="s">
        <v>17</v>
      </c>
      <c r="H23" s="2"/>
    </row>
    <row r="24" spans="1:8" x14ac:dyDescent="0.3">
      <c r="A24" s="24">
        <v>21</v>
      </c>
      <c r="B24" s="24">
        <v>2024020</v>
      </c>
      <c r="C24" s="24" t="s">
        <v>115</v>
      </c>
      <c r="D24" s="24" t="s">
        <v>116</v>
      </c>
      <c r="E24" s="21"/>
      <c r="F24" s="24" t="s">
        <v>108</v>
      </c>
      <c r="G24" s="25" t="s">
        <v>17</v>
      </c>
      <c r="H24" s="2"/>
    </row>
    <row r="25" spans="1:8" x14ac:dyDescent="0.3">
      <c r="A25" s="24">
        <v>22</v>
      </c>
      <c r="B25" s="24">
        <v>2020049</v>
      </c>
      <c r="C25" s="24" t="s">
        <v>117</v>
      </c>
      <c r="D25" s="24" t="s">
        <v>118</v>
      </c>
      <c r="E25" s="21"/>
      <c r="F25" s="24" t="s">
        <v>108</v>
      </c>
      <c r="G25" s="25" t="s">
        <v>17</v>
      </c>
      <c r="H25" s="2"/>
    </row>
    <row r="26" spans="1:8" x14ac:dyDescent="0.3">
      <c r="A26" s="24">
        <v>23</v>
      </c>
      <c r="B26" s="24">
        <v>2023068</v>
      </c>
      <c r="C26" s="24" t="s">
        <v>119</v>
      </c>
      <c r="D26" s="24" t="s">
        <v>120</v>
      </c>
      <c r="E26" s="21"/>
      <c r="F26" s="24" t="s">
        <v>108</v>
      </c>
      <c r="G26" s="25" t="s">
        <v>17</v>
      </c>
      <c r="H26" s="2"/>
    </row>
    <row r="27" spans="1:8" x14ac:dyDescent="0.3">
      <c r="A27" s="24">
        <v>24</v>
      </c>
      <c r="B27" s="24">
        <v>2023044</v>
      </c>
      <c r="C27" s="24" t="s">
        <v>121</v>
      </c>
      <c r="D27" s="24" t="s">
        <v>122</v>
      </c>
      <c r="E27" s="21"/>
      <c r="F27" s="24" t="s">
        <v>108</v>
      </c>
      <c r="G27" s="25" t="s">
        <v>17</v>
      </c>
      <c r="H27" s="2"/>
    </row>
    <row r="28" spans="1:8" x14ac:dyDescent="0.3">
      <c r="A28" s="24">
        <v>25</v>
      </c>
      <c r="B28" s="24">
        <v>2023039</v>
      </c>
      <c r="C28" s="24" t="s">
        <v>123</v>
      </c>
      <c r="D28" s="24" t="s">
        <v>124</v>
      </c>
      <c r="E28" s="21"/>
      <c r="F28" s="24" t="s">
        <v>108</v>
      </c>
      <c r="G28" s="25" t="s">
        <v>17</v>
      </c>
      <c r="H28" s="2"/>
    </row>
    <row r="29" spans="1:8" x14ac:dyDescent="0.3">
      <c r="A29" s="24">
        <v>26</v>
      </c>
      <c r="B29" s="24">
        <v>2021022</v>
      </c>
      <c r="C29" s="24" t="s">
        <v>106</v>
      </c>
      <c r="D29" s="24" t="s">
        <v>125</v>
      </c>
      <c r="E29" s="21"/>
      <c r="F29" s="24" t="s">
        <v>108</v>
      </c>
      <c r="G29" s="25" t="s">
        <v>17</v>
      </c>
      <c r="H29" s="2"/>
    </row>
    <row r="30" spans="1:8" x14ac:dyDescent="0.3">
      <c r="A30" s="24">
        <v>27</v>
      </c>
      <c r="B30" s="24">
        <v>2023022</v>
      </c>
      <c r="C30" s="24" t="s">
        <v>126</v>
      </c>
      <c r="D30" s="24" t="s">
        <v>127</v>
      </c>
      <c r="E30" s="21"/>
      <c r="F30" s="24" t="s">
        <v>108</v>
      </c>
      <c r="G30" s="25" t="s">
        <v>17</v>
      </c>
      <c r="H30" s="2"/>
    </row>
    <row r="31" spans="1:8" x14ac:dyDescent="0.3">
      <c r="A31" s="24">
        <v>28</v>
      </c>
      <c r="B31" s="24">
        <v>2022042</v>
      </c>
      <c r="C31" s="24" t="s">
        <v>128</v>
      </c>
      <c r="D31" s="24" t="s">
        <v>129</v>
      </c>
      <c r="E31" s="21"/>
      <c r="F31" s="24" t="s">
        <v>108</v>
      </c>
      <c r="G31" s="25" t="s">
        <v>17</v>
      </c>
      <c r="H31" s="2"/>
    </row>
    <row r="32" spans="1:8" x14ac:dyDescent="0.3">
      <c r="A32" s="24">
        <v>29</v>
      </c>
      <c r="B32" s="24">
        <v>2022058</v>
      </c>
      <c r="C32" s="24" t="s">
        <v>130</v>
      </c>
      <c r="D32" s="24" t="s">
        <v>131</v>
      </c>
      <c r="E32" s="21"/>
      <c r="F32" s="24" t="s">
        <v>108</v>
      </c>
      <c r="G32" s="25" t="s">
        <v>17</v>
      </c>
      <c r="H32" s="2"/>
    </row>
    <row r="33" spans="1:8" x14ac:dyDescent="0.3">
      <c r="A33" s="24">
        <v>101</v>
      </c>
      <c r="B33" s="24">
        <v>2017017</v>
      </c>
      <c r="C33" s="24" t="s">
        <v>132</v>
      </c>
      <c r="D33" s="24" t="s">
        <v>133</v>
      </c>
      <c r="E33" s="21"/>
      <c r="F33" s="24" t="s">
        <v>75</v>
      </c>
      <c r="G33" s="25" t="s">
        <v>70</v>
      </c>
      <c r="H33" s="2"/>
    </row>
    <row r="34" spans="1:8" x14ac:dyDescent="0.3">
      <c r="A34" s="24">
        <v>102</v>
      </c>
      <c r="B34" s="24">
        <v>2021028</v>
      </c>
      <c r="C34" s="24" t="s">
        <v>134</v>
      </c>
      <c r="D34" s="24" t="s">
        <v>135</v>
      </c>
      <c r="E34" s="21"/>
      <c r="F34" s="24" t="s">
        <v>75</v>
      </c>
      <c r="G34" s="25" t="s">
        <v>70</v>
      </c>
      <c r="H34" s="2"/>
    </row>
    <row r="35" spans="1:8" x14ac:dyDescent="0.3">
      <c r="A35" s="24">
        <v>103</v>
      </c>
      <c r="B35" s="24">
        <v>2017019</v>
      </c>
      <c r="C35" s="24" t="s">
        <v>136</v>
      </c>
      <c r="D35" s="24" t="s">
        <v>137</v>
      </c>
      <c r="E35" s="21"/>
      <c r="F35" s="24" t="s">
        <v>88</v>
      </c>
      <c r="G35" s="25" t="s">
        <v>70</v>
      </c>
      <c r="H35" s="2"/>
    </row>
    <row r="36" spans="1:8" x14ac:dyDescent="0.3">
      <c r="A36" s="24">
        <v>104</v>
      </c>
      <c r="B36" s="24">
        <v>2017036</v>
      </c>
      <c r="C36" s="24" t="s">
        <v>95</v>
      </c>
      <c r="D36" s="24" t="s">
        <v>138</v>
      </c>
      <c r="E36" s="21"/>
      <c r="F36" s="24" t="s">
        <v>99</v>
      </c>
      <c r="G36" s="25" t="s">
        <v>70</v>
      </c>
      <c r="H36" s="2"/>
    </row>
    <row r="37" spans="1:8" x14ac:dyDescent="0.3">
      <c r="A37" s="24">
        <v>105</v>
      </c>
      <c r="B37" s="24">
        <v>2014001</v>
      </c>
      <c r="C37" s="24" t="s">
        <v>130</v>
      </c>
      <c r="D37" s="24" t="s">
        <v>141</v>
      </c>
      <c r="E37" s="21"/>
      <c r="F37" s="24" t="s">
        <v>108</v>
      </c>
      <c r="G37" s="25" t="s">
        <v>70</v>
      </c>
      <c r="H37" s="2"/>
    </row>
    <row r="38" spans="1:8" x14ac:dyDescent="0.3">
      <c r="A38" s="24">
        <v>110</v>
      </c>
      <c r="B38" s="24">
        <v>2020042</v>
      </c>
      <c r="C38" s="24" t="s">
        <v>80</v>
      </c>
      <c r="D38" s="24" t="s">
        <v>142</v>
      </c>
      <c r="E38" s="21"/>
      <c r="F38" s="24" t="s">
        <v>75</v>
      </c>
      <c r="G38" s="25" t="s">
        <v>68</v>
      </c>
      <c r="H38" s="2"/>
    </row>
    <row r="39" spans="1:8" x14ac:dyDescent="0.3">
      <c r="A39" s="24">
        <v>111</v>
      </c>
      <c r="B39" s="24">
        <v>2018032</v>
      </c>
      <c r="C39" s="24" t="s">
        <v>143</v>
      </c>
      <c r="D39" s="24" t="s">
        <v>144</v>
      </c>
      <c r="E39" s="21"/>
      <c r="F39" s="24" t="s">
        <v>75</v>
      </c>
      <c r="G39" s="25" t="s">
        <v>68</v>
      </c>
      <c r="H39" s="2"/>
    </row>
    <row r="40" spans="1:8" x14ac:dyDescent="0.3">
      <c r="A40" s="24">
        <v>112</v>
      </c>
      <c r="B40" s="24">
        <v>2019004</v>
      </c>
      <c r="C40" s="24" t="s">
        <v>145</v>
      </c>
      <c r="D40" s="24" t="s">
        <v>146</v>
      </c>
      <c r="E40" s="21"/>
      <c r="F40" s="24" t="s">
        <v>75</v>
      </c>
      <c r="G40" s="25" t="s">
        <v>68</v>
      </c>
      <c r="H40" s="2"/>
    </row>
    <row r="41" spans="1:8" x14ac:dyDescent="0.3">
      <c r="A41" s="24">
        <v>113</v>
      </c>
      <c r="B41" s="24">
        <v>2019011</v>
      </c>
      <c r="C41" s="24" t="s">
        <v>132</v>
      </c>
      <c r="D41" s="24" t="s">
        <v>147</v>
      </c>
      <c r="E41" s="21"/>
      <c r="F41" s="24" t="s">
        <v>75</v>
      </c>
      <c r="G41" s="25" t="s">
        <v>68</v>
      </c>
      <c r="H41" s="2"/>
    </row>
    <row r="42" spans="1:8" x14ac:dyDescent="0.3">
      <c r="A42" s="24">
        <v>114</v>
      </c>
      <c r="B42" s="24">
        <v>2019030</v>
      </c>
      <c r="C42" s="24" t="s">
        <v>148</v>
      </c>
      <c r="D42" s="24" t="s">
        <v>72</v>
      </c>
      <c r="E42" s="21"/>
      <c r="F42" s="24" t="s">
        <v>75</v>
      </c>
      <c r="G42" s="25" t="s">
        <v>68</v>
      </c>
      <c r="H42" s="2"/>
    </row>
    <row r="43" spans="1:8" x14ac:dyDescent="0.3">
      <c r="A43" s="24">
        <v>115</v>
      </c>
      <c r="B43" s="24">
        <v>2022034</v>
      </c>
      <c r="C43" s="24" t="s">
        <v>136</v>
      </c>
      <c r="D43" s="24" t="s">
        <v>149</v>
      </c>
      <c r="E43" s="21"/>
      <c r="F43" s="24" t="s">
        <v>75</v>
      </c>
      <c r="G43" s="25" t="s">
        <v>68</v>
      </c>
      <c r="H43" s="2"/>
    </row>
    <row r="44" spans="1:8" x14ac:dyDescent="0.3">
      <c r="A44" s="24">
        <v>116</v>
      </c>
      <c r="B44" s="24">
        <v>2017012</v>
      </c>
      <c r="C44" s="24" t="s">
        <v>145</v>
      </c>
      <c r="D44" s="24" t="s">
        <v>150</v>
      </c>
      <c r="E44" s="21"/>
      <c r="F44" s="24" t="s">
        <v>88</v>
      </c>
      <c r="G44" s="25" t="s">
        <v>68</v>
      </c>
      <c r="H44" s="2"/>
    </row>
    <row r="45" spans="1:8" x14ac:dyDescent="0.3">
      <c r="A45" s="24">
        <v>119</v>
      </c>
      <c r="B45" s="24">
        <v>2017027</v>
      </c>
      <c r="C45" s="24" t="s">
        <v>139</v>
      </c>
      <c r="D45" s="24" t="s">
        <v>140</v>
      </c>
      <c r="E45" s="21"/>
      <c r="F45" s="24" t="s">
        <v>99</v>
      </c>
      <c r="G45" s="25" t="s">
        <v>69</v>
      </c>
      <c r="H45" s="2"/>
    </row>
    <row r="46" spans="1:8" x14ac:dyDescent="0.3">
      <c r="A46" s="24">
        <v>120</v>
      </c>
      <c r="B46" s="24">
        <v>2023009</v>
      </c>
      <c r="C46" s="24" t="s">
        <v>132</v>
      </c>
      <c r="D46" s="24" t="s">
        <v>151</v>
      </c>
      <c r="E46" s="21"/>
      <c r="F46" s="24" t="s">
        <v>99</v>
      </c>
      <c r="G46" s="25" t="s">
        <v>69</v>
      </c>
      <c r="H46" s="2"/>
    </row>
    <row r="47" spans="1:8" x14ac:dyDescent="0.3">
      <c r="A47" s="24">
        <v>121</v>
      </c>
      <c r="B47" s="24">
        <v>2023028</v>
      </c>
      <c r="C47" s="24" t="s">
        <v>152</v>
      </c>
      <c r="D47" s="24" t="s">
        <v>153</v>
      </c>
      <c r="E47" s="23"/>
      <c r="F47" s="24" t="s">
        <v>99</v>
      </c>
      <c r="G47" s="25" t="s">
        <v>69</v>
      </c>
      <c r="H47" s="2"/>
    </row>
    <row r="48" spans="1:8" x14ac:dyDescent="0.3">
      <c r="A48" s="24">
        <v>122</v>
      </c>
      <c r="B48" s="24">
        <v>2022047</v>
      </c>
      <c r="C48" s="24" t="s">
        <v>154</v>
      </c>
      <c r="D48" s="24" t="s">
        <v>155</v>
      </c>
      <c r="E48" s="21"/>
      <c r="F48" s="24" t="s">
        <v>99</v>
      </c>
      <c r="G48" s="25" t="s">
        <v>69</v>
      </c>
      <c r="H48" s="2"/>
    </row>
    <row r="49" spans="1:8" x14ac:dyDescent="0.3">
      <c r="A49" s="24">
        <v>123</v>
      </c>
      <c r="B49" s="24">
        <v>2021020</v>
      </c>
      <c r="C49" s="24" t="s">
        <v>132</v>
      </c>
      <c r="D49" s="24" t="s">
        <v>156</v>
      </c>
      <c r="E49" s="21"/>
      <c r="F49" s="24" t="s">
        <v>99</v>
      </c>
      <c r="G49" s="25" t="s">
        <v>69</v>
      </c>
      <c r="H49" s="2"/>
    </row>
    <row r="50" spans="1:8" x14ac:dyDescent="0.3">
      <c r="A50" s="24">
        <v>124</v>
      </c>
      <c r="B50" s="24">
        <v>2022038</v>
      </c>
      <c r="C50" s="24" t="s">
        <v>123</v>
      </c>
      <c r="D50" s="24" t="s">
        <v>157</v>
      </c>
      <c r="E50" s="21"/>
      <c r="F50" s="24" t="s">
        <v>99</v>
      </c>
      <c r="G50" s="25" t="s">
        <v>69</v>
      </c>
      <c r="H50" s="2"/>
    </row>
    <row r="51" spans="1:8" x14ac:dyDescent="0.3">
      <c r="A51" s="24">
        <v>125</v>
      </c>
      <c r="B51" s="24">
        <v>2019007</v>
      </c>
      <c r="C51" s="24" t="s">
        <v>95</v>
      </c>
      <c r="D51" s="24" t="s">
        <v>158</v>
      </c>
      <c r="E51" s="21"/>
      <c r="F51" s="24" t="s">
        <v>108</v>
      </c>
      <c r="G51" s="25" t="s">
        <v>69</v>
      </c>
      <c r="H51" s="2"/>
    </row>
    <row r="52" spans="1:8" x14ac:dyDescent="0.3">
      <c r="A52" s="24">
        <v>126</v>
      </c>
      <c r="B52" s="24">
        <v>2015078</v>
      </c>
      <c r="C52" s="24" t="s">
        <v>159</v>
      </c>
      <c r="D52" s="24" t="s">
        <v>160</v>
      </c>
      <c r="E52" s="21"/>
      <c r="F52" s="24" t="s">
        <v>108</v>
      </c>
      <c r="G52" s="25" t="s">
        <v>69</v>
      </c>
      <c r="H52" s="2"/>
    </row>
    <row r="53" spans="1:8" x14ac:dyDescent="0.3">
      <c r="A53" s="24">
        <v>127</v>
      </c>
      <c r="B53" s="24">
        <v>2023074</v>
      </c>
      <c r="C53" s="24" t="s">
        <v>161</v>
      </c>
      <c r="D53" s="24" t="s">
        <v>162</v>
      </c>
      <c r="E53" s="21"/>
      <c r="F53" s="24" t="s">
        <v>108</v>
      </c>
      <c r="G53" s="25" t="s">
        <v>69</v>
      </c>
      <c r="H53" s="2"/>
    </row>
    <row r="54" spans="1:8" x14ac:dyDescent="0.3">
      <c r="A54" s="24">
        <v>128</v>
      </c>
      <c r="B54" s="24">
        <v>2022059</v>
      </c>
      <c r="C54" s="24" t="s">
        <v>163</v>
      </c>
      <c r="D54" s="24" t="s">
        <v>164</v>
      </c>
      <c r="E54" s="21"/>
      <c r="F54" s="24" t="s">
        <v>108</v>
      </c>
      <c r="G54" s="25" t="s">
        <v>69</v>
      </c>
      <c r="H54" s="2"/>
    </row>
    <row r="55" spans="1:8" x14ac:dyDescent="0.3">
      <c r="A55" s="24">
        <v>129</v>
      </c>
      <c r="B55" s="24">
        <v>2022027</v>
      </c>
      <c r="C55" s="24" t="s">
        <v>109</v>
      </c>
      <c r="D55" s="24" t="s">
        <v>165</v>
      </c>
      <c r="E55" s="21"/>
      <c r="F55" s="24" t="s">
        <v>108</v>
      </c>
      <c r="G55" s="25" t="s">
        <v>69</v>
      </c>
      <c r="H55" s="2"/>
    </row>
    <row r="56" spans="1:8" x14ac:dyDescent="0.3">
      <c r="A56" s="24">
        <v>130</v>
      </c>
      <c r="B56" s="24">
        <v>2019019</v>
      </c>
      <c r="C56" s="24" t="s">
        <v>166</v>
      </c>
      <c r="D56" s="24" t="s">
        <v>167</v>
      </c>
      <c r="E56" s="21"/>
      <c r="F56" s="24" t="s">
        <v>108</v>
      </c>
      <c r="G56" s="25" t="s">
        <v>69</v>
      </c>
      <c r="H56" s="2"/>
    </row>
    <row r="57" spans="1:8" x14ac:dyDescent="0.3">
      <c r="A57" s="24">
        <v>131</v>
      </c>
      <c r="B57" s="24">
        <v>2021001</v>
      </c>
      <c r="C57" s="24" t="s">
        <v>168</v>
      </c>
      <c r="D57" s="24" t="s">
        <v>169</v>
      </c>
      <c r="E57" s="21"/>
      <c r="F57" s="24" t="s">
        <v>108</v>
      </c>
      <c r="G57" s="25" t="s">
        <v>69</v>
      </c>
      <c r="H57" s="2"/>
    </row>
    <row r="58" spans="1:8" x14ac:dyDescent="0.3">
      <c r="A58" s="24"/>
      <c r="B58" s="24"/>
      <c r="C58" s="24"/>
      <c r="D58" s="24"/>
      <c r="E58" s="23"/>
      <c r="F58" s="24"/>
      <c r="G58" s="25"/>
      <c r="H58" s="2"/>
    </row>
    <row r="59" spans="1:8" x14ac:dyDescent="0.3">
      <c r="A59" s="24"/>
      <c r="B59" s="24"/>
      <c r="C59" s="24"/>
      <c r="D59" s="24"/>
      <c r="E59" s="21"/>
      <c r="F59" s="24"/>
      <c r="G59" s="25"/>
      <c r="H59" s="2"/>
    </row>
    <row r="60" spans="1:8" x14ac:dyDescent="0.3">
      <c r="A60" s="24"/>
      <c r="B60" s="24"/>
      <c r="C60" s="24"/>
      <c r="D60" s="24"/>
      <c r="E60" s="21"/>
      <c r="F60" s="24"/>
      <c r="G60" s="25"/>
      <c r="H60" s="2"/>
    </row>
    <row r="61" spans="1:8" x14ac:dyDescent="0.3">
      <c r="A61" s="24"/>
      <c r="B61" s="24"/>
      <c r="C61" s="24"/>
      <c r="D61" s="24"/>
      <c r="E61" s="21"/>
      <c r="F61" s="24"/>
      <c r="G61" s="25"/>
      <c r="H61" s="2"/>
    </row>
    <row r="62" spans="1:8" x14ac:dyDescent="0.3">
      <c r="A62" s="24"/>
      <c r="B62" s="24"/>
      <c r="C62" s="24"/>
      <c r="D62" s="24"/>
      <c r="E62" s="21"/>
      <c r="F62" s="24"/>
      <c r="G62" s="25"/>
      <c r="H62" s="2"/>
    </row>
    <row r="63" spans="1:8" x14ac:dyDescent="0.3">
      <c r="A63" s="24"/>
      <c r="B63" s="24"/>
      <c r="C63" s="24"/>
      <c r="D63" s="24"/>
      <c r="E63" s="21"/>
      <c r="F63" s="24"/>
      <c r="G63" s="25"/>
      <c r="H63" s="2"/>
    </row>
    <row r="64" spans="1:8" x14ac:dyDescent="0.3">
      <c r="A64" s="24"/>
      <c r="B64" s="24"/>
      <c r="C64" s="24"/>
      <c r="D64" s="24"/>
      <c r="E64" s="21"/>
      <c r="F64" s="24"/>
      <c r="G64" s="25"/>
      <c r="H64" s="2"/>
    </row>
    <row r="65" spans="1:8" x14ac:dyDescent="0.3">
      <c r="A65" s="24"/>
      <c r="B65" s="24"/>
      <c r="C65" s="24"/>
      <c r="D65" s="24"/>
      <c r="E65" s="21"/>
      <c r="F65" s="24"/>
      <c r="G65" s="25"/>
      <c r="H65" s="2"/>
    </row>
    <row r="66" spans="1:8" x14ac:dyDescent="0.3">
      <c r="A66" s="24"/>
      <c r="B66" s="24"/>
      <c r="C66" s="24"/>
      <c r="D66" s="24"/>
      <c r="E66" s="21"/>
      <c r="F66" s="24"/>
      <c r="G66" s="25"/>
      <c r="H66" s="2"/>
    </row>
    <row r="67" spans="1:8" x14ac:dyDescent="0.3">
      <c r="A67" s="24"/>
      <c r="B67" s="24"/>
      <c r="C67" s="24"/>
      <c r="D67" s="24"/>
      <c r="E67" s="21"/>
      <c r="F67" s="24"/>
      <c r="G67" s="25"/>
      <c r="H67" s="2"/>
    </row>
    <row r="68" spans="1:8" x14ac:dyDescent="0.3">
      <c r="A68" s="24"/>
      <c r="B68" s="24"/>
      <c r="C68" s="24"/>
      <c r="D68" s="24"/>
      <c r="E68" s="21"/>
      <c r="F68" s="24"/>
      <c r="G68" s="25"/>
      <c r="H68" s="2"/>
    </row>
    <row r="69" spans="1:8" x14ac:dyDescent="0.3">
      <c r="A69" s="24"/>
      <c r="B69" s="24"/>
      <c r="C69" s="24"/>
      <c r="D69" s="24"/>
      <c r="E69" s="21"/>
      <c r="F69" s="24"/>
      <c r="G69" s="25"/>
      <c r="H69" s="2"/>
    </row>
    <row r="70" spans="1:8" ht="16.2" thickBot="1" x14ac:dyDescent="0.35">
      <c r="A70" s="5"/>
      <c r="B70" s="5"/>
      <c r="C70" s="15"/>
      <c r="D70" s="15"/>
      <c r="E70" s="21"/>
      <c r="F70" s="15"/>
      <c r="G70" s="15"/>
      <c r="H70" s="2"/>
    </row>
    <row r="71" spans="1:8" ht="16.2" thickBot="1" x14ac:dyDescent="0.35">
      <c r="A71" s="5"/>
      <c r="B71" s="5"/>
      <c r="C71" s="15"/>
      <c r="D71" s="15"/>
      <c r="E71" s="21"/>
      <c r="F71" s="15"/>
      <c r="G71" s="15"/>
      <c r="H71" s="2"/>
    </row>
    <row r="72" spans="1:8" ht="16.2" thickBot="1" x14ac:dyDescent="0.35">
      <c r="A72" s="5"/>
      <c r="B72" s="5"/>
      <c r="C72" s="15"/>
      <c r="D72" s="15"/>
      <c r="E72" s="21"/>
      <c r="F72" s="15"/>
      <c r="G72" s="15"/>
      <c r="H72" s="2"/>
    </row>
    <row r="73" spans="1:8" ht="16.2" thickBot="1" x14ac:dyDescent="0.35">
      <c r="A73" s="5"/>
      <c r="B73" s="5"/>
      <c r="C73" s="15"/>
      <c r="D73" s="15"/>
      <c r="E73" s="21"/>
      <c r="F73" s="15"/>
      <c r="G73" s="15"/>
      <c r="H73" s="2"/>
    </row>
    <row r="74" spans="1:8" ht="16.2" thickBot="1" x14ac:dyDescent="0.35">
      <c r="A74" s="5"/>
      <c r="B74" s="5"/>
      <c r="C74" s="15"/>
      <c r="D74" s="15"/>
      <c r="E74" s="21"/>
      <c r="F74" s="15"/>
      <c r="G74" s="15"/>
      <c r="H74" s="2"/>
    </row>
    <row r="75" spans="1:8" ht="16.2" thickBot="1" x14ac:dyDescent="0.35">
      <c r="A75" s="5"/>
      <c r="B75" s="15"/>
      <c r="C75" s="15"/>
      <c r="D75" s="15"/>
      <c r="E75" s="21"/>
      <c r="F75" s="15"/>
      <c r="G75" s="15"/>
      <c r="H75" s="2"/>
    </row>
    <row r="76" spans="1:8" ht="16.2" thickBot="1" x14ac:dyDescent="0.35">
      <c r="A76" s="5"/>
      <c r="B76" s="5"/>
      <c r="C76" s="15"/>
      <c r="D76" s="15"/>
      <c r="E76" s="21"/>
      <c r="F76" s="15"/>
      <c r="G76" s="15"/>
      <c r="H76" s="2"/>
    </row>
    <row r="77" spans="1:8" ht="16.2" thickBot="1" x14ac:dyDescent="0.35">
      <c r="A77" s="18"/>
      <c r="B77" s="5"/>
      <c r="C77" s="15"/>
      <c r="D77" s="15"/>
      <c r="E77" s="21"/>
      <c r="F77" s="15"/>
      <c r="G77" s="15"/>
      <c r="H77" s="2"/>
    </row>
    <row r="78" spans="1:8" ht="16.2" thickBot="1" x14ac:dyDescent="0.35">
      <c r="A78" s="5"/>
      <c r="B78" s="5"/>
      <c r="C78" s="15"/>
      <c r="D78" s="15"/>
      <c r="E78" s="21"/>
      <c r="F78" s="15"/>
      <c r="G78" s="15"/>
      <c r="H78" s="2"/>
    </row>
    <row r="79" spans="1:8" ht="16.2" thickBot="1" x14ac:dyDescent="0.35">
      <c r="A79" s="5"/>
      <c r="B79" s="5"/>
      <c r="C79" s="15"/>
      <c r="D79" s="15"/>
      <c r="E79" s="21"/>
      <c r="F79" s="15"/>
      <c r="G79" s="15"/>
      <c r="H79" s="2"/>
    </row>
    <row r="80" spans="1:8" ht="16.2" thickBot="1" x14ac:dyDescent="0.35">
      <c r="A80" s="5"/>
      <c r="B80" s="5"/>
      <c r="C80" s="15"/>
      <c r="D80" s="15"/>
      <c r="E80" s="21"/>
      <c r="F80" s="15"/>
      <c r="G80" s="15"/>
      <c r="H80" s="2"/>
    </row>
    <row r="81" spans="1:8" ht="16.2" thickBot="1" x14ac:dyDescent="0.35">
      <c r="A81" s="5"/>
      <c r="B81" s="5"/>
      <c r="C81" s="15"/>
      <c r="D81" s="15"/>
      <c r="E81" s="21"/>
      <c r="F81" s="15"/>
      <c r="G81" s="15"/>
      <c r="H81" s="2"/>
    </row>
    <row r="82" spans="1:8" ht="16.2" thickBot="1" x14ac:dyDescent="0.35">
      <c r="A82" s="5"/>
      <c r="B82" s="5"/>
      <c r="C82" s="15"/>
      <c r="D82" s="15"/>
      <c r="E82" s="21"/>
      <c r="F82" s="15"/>
      <c r="G82" s="15"/>
      <c r="H82" s="2"/>
    </row>
    <row r="83" spans="1:8" ht="16.2" thickBot="1" x14ac:dyDescent="0.35">
      <c r="A83" s="5"/>
      <c r="B83" s="5"/>
      <c r="C83" s="15"/>
      <c r="D83" s="15"/>
      <c r="E83" s="21"/>
      <c r="F83" s="15"/>
      <c r="G83" s="15"/>
      <c r="H83" s="2"/>
    </row>
    <row r="84" spans="1:8" ht="16.2" thickBot="1" x14ac:dyDescent="0.35">
      <c r="A84" s="5"/>
      <c r="B84" s="5"/>
      <c r="C84" s="15"/>
      <c r="D84" s="15"/>
      <c r="E84" s="21"/>
      <c r="F84" s="15"/>
      <c r="G84" s="15"/>
      <c r="H84" s="2"/>
    </row>
    <row r="85" spans="1:8" ht="16.2" thickBot="1" x14ac:dyDescent="0.35">
      <c r="A85" s="5"/>
      <c r="B85" s="5"/>
      <c r="C85" s="15"/>
      <c r="D85" s="15"/>
      <c r="E85" s="21"/>
      <c r="F85" s="15"/>
      <c r="G85" s="15"/>
      <c r="H85" s="2"/>
    </row>
    <row r="86" spans="1:8" ht="16.2" thickBot="1" x14ac:dyDescent="0.35">
      <c r="A86" s="5"/>
      <c r="B86" s="5"/>
      <c r="C86" s="15"/>
      <c r="D86" s="15"/>
      <c r="E86" s="21"/>
      <c r="F86" s="15"/>
      <c r="G86" s="15"/>
      <c r="H86" s="2"/>
    </row>
    <row r="87" spans="1:8" ht="16.2" thickBot="1" x14ac:dyDescent="0.35">
      <c r="A87" s="5"/>
      <c r="B87" s="5"/>
      <c r="C87" s="15"/>
      <c r="D87" s="15"/>
      <c r="E87" s="21"/>
      <c r="F87" s="15"/>
      <c r="G87" s="15"/>
      <c r="H87" s="2"/>
    </row>
    <row r="88" spans="1:8" ht="16.2" thickBot="1" x14ac:dyDescent="0.35">
      <c r="A88" s="5"/>
      <c r="B88" s="5"/>
      <c r="C88" s="15"/>
      <c r="D88" s="15"/>
      <c r="E88" s="21"/>
      <c r="F88" s="15"/>
      <c r="G88" s="15"/>
      <c r="H88" s="2"/>
    </row>
    <row r="89" spans="1:8" ht="16.2" thickBot="1" x14ac:dyDescent="0.35">
      <c r="A89" s="5"/>
      <c r="B89" s="5"/>
      <c r="C89" s="15"/>
      <c r="D89" s="15"/>
      <c r="E89" s="21"/>
      <c r="F89" s="15"/>
      <c r="G89" s="15"/>
      <c r="H89" s="2"/>
    </row>
    <row r="90" spans="1:8" ht="16.2" thickBot="1" x14ac:dyDescent="0.35">
      <c r="A90" s="5"/>
      <c r="B90" s="5"/>
      <c r="C90" s="15"/>
      <c r="D90" s="15"/>
      <c r="E90" s="22"/>
      <c r="F90" s="15"/>
      <c r="G90" s="15"/>
      <c r="H90" s="2"/>
    </row>
    <row r="91" spans="1:8" ht="16.2" thickBot="1" x14ac:dyDescent="0.35">
      <c r="A91" s="5"/>
      <c r="B91" s="5"/>
      <c r="C91" s="15"/>
      <c r="D91" s="15"/>
      <c r="E91" s="22"/>
      <c r="F91" s="15"/>
      <c r="G91" s="15"/>
      <c r="H91" s="2"/>
    </row>
    <row r="92" spans="1:8" ht="16.2" thickBot="1" x14ac:dyDescent="0.35">
      <c r="A92" s="5"/>
      <c r="B92" s="5"/>
      <c r="C92" s="15"/>
      <c r="D92" s="15"/>
      <c r="E92" s="22"/>
      <c r="F92" s="15"/>
      <c r="G92" s="15"/>
      <c r="H92" s="2"/>
    </row>
    <row r="93" spans="1:8" ht="16.2" thickBot="1" x14ac:dyDescent="0.35">
      <c r="A93" s="5"/>
      <c r="B93" s="5"/>
      <c r="C93" s="15"/>
      <c r="D93" s="15"/>
      <c r="E93" s="22"/>
      <c r="F93" s="15"/>
      <c r="G93" s="15"/>
      <c r="H93" s="2"/>
    </row>
    <row r="94" spans="1:8" ht="16.2" thickBot="1" x14ac:dyDescent="0.35">
      <c r="A94" s="5"/>
      <c r="B94" s="5"/>
      <c r="C94" s="15"/>
      <c r="D94" s="15"/>
      <c r="E94" s="22"/>
      <c r="F94" s="15"/>
      <c r="G94" s="15"/>
      <c r="H94" s="2"/>
    </row>
    <row r="95" spans="1:8" ht="16.2" thickBot="1" x14ac:dyDescent="0.35">
      <c r="A95" s="5"/>
      <c r="B95" s="5"/>
      <c r="C95" s="15"/>
      <c r="D95" s="15"/>
      <c r="E95" s="22"/>
      <c r="F95" s="15"/>
      <c r="G95" s="15"/>
      <c r="H95" s="2"/>
    </row>
    <row r="96" spans="1:8" ht="16.2" thickBot="1" x14ac:dyDescent="0.35">
      <c r="A96" s="5"/>
      <c r="B96" s="5"/>
      <c r="C96" s="15"/>
      <c r="D96" s="15"/>
      <c r="E96" s="22"/>
      <c r="F96" s="15"/>
      <c r="G96" s="15"/>
      <c r="H96" s="2"/>
    </row>
    <row r="97" spans="1:8" ht="16.2" thickBot="1" x14ac:dyDescent="0.35">
      <c r="A97" s="5"/>
      <c r="B97" s="5"/>
      <c r="C97" s="15"/>
      <c r="D97" s="15"/>
      <c r="E97" s="22"/>
      <c r="F97" s="15"/>
      <c r="G97" s="15"/>
      <c r="H97" s="2"/>
    </row>
    <row r="98" spans="1:8" ht="16.2" thickBot="1" x14ac:dyDescent="0.35">
      <c r="A98" s="5"/>
      <c r="B98" s="5"/>
      <c r="C98" s="15"/>
      <c r="D98" s="15"/>
      <c r="E98" s="22"/>
      <c r="F98" s="15"/>
      <c r="G98" s="15"/>
      <c r="H98" s="2"/>
    </row>
    <row r="99" spans="1:8" ht="16.2" thickBot="1" x14ac:dyDescent="0.35">
      <c r="A99" s="5"/>
      <c r="B99" s="5"/>
      <c r="C99" s="15"/>
      <c r="D99" s="15"/>
      <c r="E99" s="22"/>
      <c r="F99" s="15"/>
      <c r="G99" s="15"/>
      <c r="H99" s="2"/>
    </row>
    <row r="100" spans="1:8" ht="16.2" thickBot="1" x14ac:dyDescent="0.35">
      <c r="A100" s="5"/>
      <c r="B100" s="5"/>
      <c r="C100" s="15"/>
      <c r="D100" s="15"/>
      <c r="E100" s="22"/>
      <c r="F100" s="15"/>
      <c r="G100" s="15"/>
      <c r="H100" s="2"/>
    </row>
    <row r="101" spans="1:8" ht="16.2" thickBot="1" x14ac:dyDescent="0.35">
      <c r="A101" s="5"/>
      <c r="B101" s="5"/>
      <c r="C101" s="15"/>
      <c r="D101" s="15"/>
      <c r="E101" s="9"/>
      <c r="F101" s="15"/>
      <c r="G101" s="15"/>
      <c r="H101" s="2"/>
    </row>
    <row r="102" spans="1:8" ht="16.2" thickBot="1" x14ac:dyDescent="0.35">
      <c r="A102" s="5"/>
      <c r="B102" s="5"/>
      <c r="C102" s="15"/>
      <c r="D102" s="15"/>
      <c r="E102" s="9"/>
      <c r="F102" s="15"/>
      <c r="G102" s="15"/>
      <c r="H102" s="2"/>
    </row>
    <row r="103" spans="1:8" ht="18" thickBot="1" x14ac:dyDescent="0.4">
      <c r="A103" s="18"/>
      <c r="B103" s="14"/>
      <c r="C103" s="15"/>
      <c r="D103" s="15"/>
      <c r="E103" s="9"/>
      <c r="F103" s="15"/>
      <c r="G103" s="19"/>
      <c r="H103" s="2"/>
    </row>
    <row r="104" spans="1:8" ht="16.2" thickBot="1" x14ac:dyDescent="0.35">
      <c r="A104" s="5"/>
      <c r="B104" s="5"/>
      <c r="C104" s="15"/>
      <c r="D104" s="15"/>
      <c r="E104" s="9"/>
      <c r="F104" s="15"/>
      <c r="G104" s="15"/>
      <c r="H104" s="2"/>
    </row>
    <row r="105" spans="1:8" ht="16.2" thickBot="1" x14ac:dyDescent="0.35">
      <c r="A105" s="5"/>
      <c r="B105" s="5"/>
      <c r="C105" s="15"/>
      <c r="D105" s="15"/>
      <c r="E105" s="9"/>
      <c r="F105" s="15"/>
      <c r="G105" s="15"/>
      <c r="H105" s="2"/>
    </row>
    <row r="106" spans="1:8" ht="16.2" thickBot="1" x14ac:dyDescent="0.35">
      <c r="A106" s="5"/>
      <c r="B106" s="5"/>
      <c r="C106" s="15"/>
      <c r="D106" s="15"/>
      <c r="E106" s="9"/>
      <c r="F106" s="15"/>
      <c r="G106" s="15"/>
      <c r="H106" s="2"/>
    </row>
    <row r="107" spans="1:8" ht="16.2" thickBot="1" x14ac:dyDescent="0.35">
      <c r="A107" s="5"/>
      <c r="B107" s="5"/>
      <c r="C107" s="15"/>
      <c r="D107" s="15"/>
      <c r="E107" s="9"/>
      <c r="F107" s="15"/>
      <c r="G107" s="15"/>
      <c r="H107" s="2"/>
    </row>
    <row r="108" spans="1:8" ht="16.2" thickBot="1" x14ac:dyDescent="0.35">
      <c r="A108" s="5"/>
      <c r="B108" s="5"/>
      <c r="C108" s="15"/>
      <c r="D108" s="15"/>
      <c r="E108" s="9"/>
      <c r="F108" s="15"/>
      <c r="G108" s="15"/>
      <c r="H108" s="2"/>
    </row>
    <row r="109" spans="1:8" ht="16.2" thickBot="1" x14ac:dyDescent="0.35">
      <c r="A109" s="5"/>
      <c r="B109" s="5"/>
      <c r="C109" s="15"/>
      <c r="D109" s="15"/>
      <c r="E109" s="9"/>
      <c r="F109" s="15"/>
      <c r="G109" s="15"/>
      <c r="H109" s="2"/>
    </row>
    <row r="110" spans="1:8" ht="16.2" thickBot="1" x14ac:dyDescent="0.35">
      <c r="A110" s="5"/>
      <c r="B110" s="5"/>
      <c r="C110" s="15"/>
      <c r="D110" s="15"/>
      <c r="E110" s="9"/>
      <c r="F110" s="15"/>
      <c r="G110" s="15"/>
      <c r="H110" s="2"/>
    </row>
    <row r="111" spans="1:8" ht="16.2" thickBot="1" x14ac:dyDescent="0.35">
      <c r="A111" s="17"/>
      <c r="B111" s="16"/>
      <c r="C111" s="17"/>
      <c r="D111" s="17"/>
      <c r="E111" s="9"/>
      <c r="F111" s="17"/>
      <c r="G111" s="20"/>
      <c r="H111" s="2"/>
    </row>
    <row r="112" spans="1:8" ht="16.2" thickBot="1" x14ac:dyDescent="0.35">
      <c r="A112" s="17"/>
      <c r="B112" s="16"/>
      <c r="C112" s="17"/>
      <c r="D112" s="17"/>
      <c r="E112" s="9"/>
      <c r="F112" s="20"/>
      <c r="G112" s="17"/>
      <c r="H112" s="2"/>
    </row>
    <row r="113" spans="1:8" ht="16.2" thickBot="1" x14ac:dyDescent="0.35">
      <c r="A113" s="17"/>
      <c r="B113" s="17"/>
      <c r="C113" s="17"/>
      <c r="D113" s="17"/>
      <c r="E113" s="9"/>
      <c r="F113" s="17"/>
      <c r="G113" s="17"/>
      <c r="H113" s="2"/>
    </row>
    <row r="114" spans="1:8" ht="16.2" thickBot="1" x14ac:dyDescent="0.35">
      <c r="A114" s="17"/>
      <c r="B114" s="17"/>
      <c r="C114" s="17"/>
      <c r="D114" s="17"/>
      <c r="E114" s="9"/>
      <c r="F114" s="17"/>
      <c r="G114" s="17"/>
      <c r="H114" s="2"/>
    </row>
    <row r="115" spans="1:8" ht="16.2" thickBot="1" x14ac:dyDescent="0.35">
      <c r="A115" s="17"/>
      <c r="B115" s="17"/>
      <c r="C115" s="17"/>
      <c r="D115" s="17"/>
      <c r="E115" s="9"/>
      <c r="F115" s="17"/>
      <c r="G115" s="17"/>
      <c r="H115" s="2"/>
    </row>
    <row r="116" spans="1:8" ht="16.2" thickBot="1" x14ac:dyDescent="0.35">
      <c r="A116" s="17"/>
      <c r="B116" s="17"/>
      <c r="C116" s="17"/>
      <c r="D116" s="17"/>
      <c r="E116" s="9"/>
      <c r="F116" s="17"/>
      <c r="G116" s="17"/>
      <c r="H116" s="2"/>
    </row>
  </sheetData>
  <sheetProtection insertRows="0" deleteRows="0" sort="0" autoFilter="0" pivotTables="0"/>
  <phoneticPr fontId="12" type="noConversion"/>
  <dataValidations count="1">
    <dataValidation type="list" allowBlank="1" showInputMessage="1" showErrorMessage="1" sqref="G1:G3 G117:G1048576" xr:uid="{00000000-0002-0000-0200-000000000000}">
      <formula1>KlasseLijst</formula1>
    </dataValidation>
  </dataValidations>
  <pageMargins left="0.75" right="0.75" top="1" bottom="1" header="0.5" footer="0.5"/>
  <pageSetup paperSize="9" orientation="portrait" horizontalDpi="4294967292" verticalDpi="4294967292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A5097-DC71-49C9-BCC4-961962E4A7C5}">
  <sheetPr>
    <pageSetUpPr fitToPage="1"/>
  </sheetPr>
  <dimension ref="A1:S16"/>
  <sheetViews>
    <sheetView workbookViewId="0">
      <selection activeCell="F21" sqref="F21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170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50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75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15</v>
      </c>
      <c r="D4" s="27"/>
      <c r="E4" s="3" t="s">
        <v>47</v>
      </c>
      <c r="F4" s="4">
        <v>175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16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IFERROR(VLOOKUP(Tabel42372[[#This Row],[SN]],Deelnemers[#All],2,0),"")</f>
        <v>2019050</v>
      </c>
      <c r="B8" s="6">
        <f>IF(Tabel42372[[#This Row],[Score]]="Disk",0,IF(VLOOKUP(Tabel42372[[#This Row],[SN]],Deelnemers[#All],8,0)&gt;0,"BM",MATCH(Tabel42372[[#This Row],[Sorteren]],Tabel42372[Sorteren],0)-COUNTIF($B$7:$B7,"BM")))</f>
        <v>1</v>
      </c>
      <c r="D8" t="str">
        <f>IFERROR(VLOOKUP(Tabel42372[[#This Row],[SN]],Deelnemers[#All],3,0),"")</f>
        <v>Mary Simons</v>
      </c>
      <c r="E8" t="str">
        <f>IFERROR(VLOOKUP(Tabel42372[[#This Row],[SN]],Deelnemers[#All],4,0),"")</f>
        <v>Freya</v>
      </c>
      <c r="F8" s="2" t="str">
        <f>IFERROR(VLOOKUP(Tabel42372[[#This Row],[SN]],Deelnemers[#All],6,0),0)</f>
        <v>M</v>
      </c>
      <c r="G8" s="4">
        <v>8</v>
      </c>
      <c r="H8" s="12">
        <v>39.200000000000003</v>
      </c>
      <c r="I8" s="10"/>
      <c r="J8" s="10"/>
      <c r="K8" s="10"/>
      <c r="L8" s="11"/>
      <c r="M8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0</v>
      </c>
      <c r="N8" s="7">
        <f>IFERROR(PRODUCT($F$4,1/Tabel42372[[#This Row],[Tijd]]),0)</f>
        <v>4.4642857142857135</v>
      </c>
      <c r="O8">
        <f>SUM(Tabel42372[[#This Row],[W]],Tabel42372[[#This Row],[A]],Tabel42372[[#This Row],[F]])*5</f>
        <v>0</v>
      </c>
      <c r="P8" t="str">
        <f>TEXT(Tabel42372[[#This Row],[Score]],"00,00")&amp;TEXT(Tabel42372[[#This Row],[Fouten]],"00")&amp;TEXT(Tabel42372[[#This Row],[Tijd]],"00,000")</f>
        <v>00,000039,200</v>
      </c>
      <c r="Q8" t="str">
        <f>IF(IFERROR(VLOOKUP(Tabel42372[[#This Row],[SN]],Deelnemers[#All],7,0),0)&lt;&gt;$C$4,"Loopt niet in deze klasse!",IF(COUNTIF(Tabel42372[SN],Tabel42372[[#This Row],[SN]])&gt;1,"Dubbel",""))</f>
        <v/>
      </c>
      <c r="S8" t="s">
        <v>9</v>
      </c>
    </row>
    <row r="9" spans="1:19" x14ac:dyDescent="0.3">
      <c r="A9">
        <f>IFERROR(VLOOKUP(Tabel42372[[#This Row],[SN]],Deelnemers[#All],2,0),"")</f>
        <v>2023030</v>
      </c>
      <c r="B9" s="6">
        <f>IF(Tabel42372[[#This Row],[Score]]="Disk",0,IF(VLOOKUP(Tabel42372[[#This Row],[SN]],Deelnemers[#All],8,0)&gt;0,"BM",MATCH(Tabel42372[[#This Row],[Sorteren]],Tabel42372[Sorteren],0)-COUNTIF($B$7:$B8,"BM")))</f>
        <v>2</v>
      </c>
      <c r="D9" t="str">
        <f>IFERROR(VLOOKUP(Tabel42372[[#This Row],[SN]],Deelnemers[#All],3,0),"")</f>
        <v>Anja Verheijen</v>
      </c>
      <c r="E9" t="str">
        <f>IFERROR(VLOOKUP(Tabel42372[[#This Row],[SN]],Deelnemers[#All],4,0),"")</f>
        <v>Pim</v>
      </c>
      <c r="F9" s="2" t="str">
        <f>IFERROR(VLOOKUP(Tabel42372[[#This Row],[SN]],Deelnemers[#All],6,0),0)</f>
        <v>S</v>
      </c>
      <c r="G9" s="4">
        <v>2</v>
      </c>
      <c r="H9" s="12">
        <v>53.33</v>
      </c>
      <c r="I9" s="10">
        <v>1</v>
      </c>
      <c r="J9" s="10"/>
      <c r="K9" s="10"/>
      <c r="L9" s="11"/>
      <c r="M9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8.3299999999999983</v>
      </c>
      <c r="N9" s="7">
        <f>IFERROR(PRODUCT($F$4,1/Tabel42372[[#This Row],[Tijd]]),0)</f>
        <v>3.2814550909431843</v>
      </c>
      <c r="O9">
        <f>SUM(Tabel42372[[#This Row],[W]],Tabel42372[[#This Row],[A]],Tabel42372[[#This Row],[F]])*5</f>
        <v>5</v>
      </c>
      <c r="P9" t="str">
        <f>TEXT(Tabel42372[[#This Row],[Score]],"00,00")&amp;TEXT(Tabel42372[[#This Row],[Fouten]],"00")&amp;TEXT(Tabel42372[[#This Row],[Tijd]],"00,000")</f>
        <v>08,330553,330</v>
      </c>
      <c r="Q9" t="str">
        <f>IF(IFERROR(VLOOKUP(Tabel42372[[#This Row],[SN]],Deelnemers[#All],7,0),0)&lt;&gt;$C$4,"Loopt niet in deze klasse!",IF(COUNTIF(Tabel42372[SN],Tabel42372[[#This Row],[SN]])&gt;1,"Dubbel",""))</f>
        <v/>
      </c>
      <c r="S9" s="8" t="s">
        <v>12</v>
      </c>
    </row>
    <row r="10" spans="1:19" x14ac:dyDescent="0.3">
      <c r="A10">
        <f>IFERROR(VLOOKUP(Tabel42372[[#This Row],[SN]],Deelnemers[#All],2,0),"")</f>
        <v>2022011</v>
      </c>
      <c r="B10" s="6">
        <f>IF(Tabel42372[[#This Row],[Score]]="Disk",0,IF(VLOOKUP(Tabel42372[[#This Row],[SN]],Deelnemers[#All],8,0)&gt;0,"BM",MATCH(Tabel42372[[#This Row],[Sorteren]],Tabel42372[Sorteren],0)-COUNTIF($B$7:$B9,"BM")))</f>
        <v>3</v>
      </c>
      <c r="D10" t="str">
        <f>IFERROR(VLOOKUP(Tabel42372[[#This Row],[SN]],Deelnemers[#All],3,0),"")</f>
        <v>Nicole Kündgen-Redding</v>
      </c>
      <c r="E10" t="str">
        <f>IFERROR(VLOOKUP(Tabel42372[[#This Row],[SN]],Deelnemers[#All],4,0),"")</f>
        <v>Unico</v>
      </c>
      <c r="F10" s="2" t="str">
        <f>IFERROR(VLOOKUP(Tabel42372[[#This Row],[SN]],Deelnemers[#All],6,0),0)</f>
        <v>S</v>
      </c>
      <c r="G10" s="4">
        <v>5</v>
      </c>
      <c r="H10" s="12">
        <v>41.11</v>
      </c>
      <c r="I10" s="10"/>
      <c r="J10" s="10"/>
      <c r="K10" s="10">
        <v>2</v>
      </c>
      <c r="L10" s="11"/>
      <c r="M10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10</v>
      </c>
      <c r="N10" s="7">
        <f>IFERROR(PRODUCT($F$4,1/Tabel42372[[#This Row],[Tijd]]),0)</f>
        <v>4.2568718073461449</v>
      </c>
      <c r="O10">
        <f>SUM(Tabel42372[[#This Row],[W]],Tabel42372[[#This Row],[A]],Tabel42372[[#This Row],[F]])*5</f>
        <v>10</v>
      </c>
      <c r="P10" t="str">
        <f>TEXT(Tabel42372[[#This Row],[Score]],"00,00")&amp;TEXT(Tabel42372[[#This Row],[Fouten]],"00")&amp;TEXT(Tabel42372[[#This Row],[Tijd]],"00,000")</f>
        <v>10,001041,110</v>
      </c>
      <c r="Q10" t="str">
        <f>IF(IFERROR(VLOOKUP(Tabel42372[[#This Row],[SN]],Deelnemers[#All],7,0),0)&lt;&gt;$C$4,"Loopt niet in deze klasse!",IF(COUNTIF(Tabel42372[SN],Tabel42372[[#This Row],[SN]])&gt;1,"Dubbel",""))</f>
        <v/>
      </c>
    </row>
    <row r="11" spans="1:19" x14ac:dyDescent="0.3">
      <c r="A11">
        <f>IFERROR(VLOOKUP(Tabel42372[[#This Row],[SN]],Deelnemers[#All],2,0),"")</f>
        <v>2024033</v>
      </c>
      <c r="B11" s="6">
        <f>IF(Tabel42372[[#This Row],[Score]]="Disk",0,IF(VLOOKUP(Tabel42372[[#This Row],[SN]],Deelnemers[#All],8,0)&gt;0,"BM",MATCH(Tabel42372[[#This Row],[Sorteren]],Tabel42372[Sorteren],0)-COUNTIF($B$7:$B10,"BM")))</f>
        <v>4</v>
      </c>
      <c r="D11" t="str">
        <f>IFERROR(VLOOKUP(Tabel42372[[#This Row],[SN]],Deelnemers[#All],3,0),"")</f>
        <v>Kyra Kerkhoffs</v>
      </c>
      <c r="E11" t="str">
        <f>IFERROR(VLOOKUP(Tabel42372[[#This Row],[SN]],Deelnemers[#All],4,0),"")</f>
        <v>Quinn</v>
      </c>
      <c r="F11" s="2" t="str">
        <f>IFERROR(VLOOKUP(Tabel42372[[#This Row],[SN]],Deelnemers[#All],6,0),0)</f>
        <v>S</v>
      </c>
      <c r="G11" s="4">
        <v>3</v>
      </c>
      <c r="H11" s="12">
        <v>55.33</v>
      </c>
      <c r="I11" s="10">
        <v>1</v>
      </c>
      <c r="J11" s="10"/>
      <c r="K11" s="10"/>
      <c r="L11" s="11"/>
      <c r="M11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10.329999999999998</v>
      </c>
      <c r="N11" s="7">
        <f>IFERROR(PRODUCT($F$4,1/Tabel42372[[#This Row],[Tijd]]),0)</f>
        <v>3.1628411350081329</v>
      </c>
      <c r="O11">
        <f>SUM(Tabel42372[[#This Row],[W]],Tabel42372[[#This Row],[A]],Tabel42372[[#This Row],[F]])*5</f>
        <v>5</v>
      </c>
      <c r="P11" t="str">
        <f>TEXT(Tabel42372[[#This Row],[Score]],"00,00")&amp;TEXT(Tabel42372[[#This Row],[Fouten]],"00")&amp;TEXT(Tabel42372[[#This Row],[Tijd]],"00,000")</f>
        <v>10,330555,330</v>
      </c>
      <c r="Q11" t="str">
        <f>IF(IFERROR(VLOOKUP(Tabel42372[[#This Row],[SN]],Deelnemers[#All],7,0),0)&lt;&gt;$C$4,"Loopt niet in deze klasse!",IF(COUNTIF(Tabel42372[SN],Tabel42372[[#This Row],[SN]])&gt;1,"Dubbel",""))</f>
        <v/>
      </c>
    </row>
    <row r="12" spans="1:19" x14ac:dyDescent="0.3">
      <c r="A12">
        <f>IFERROR(VLOOKUP(Tabel42372[[#This Row],[SN]],Deelnemers[#All],2,0),"")</f>
        <v>2024016</v>
      </c>
      <c r="B12" s="6">
        <f>IF(Tabel42372[[#This Row],[Score]]="Disk",0,IF(VLOOKUP(Tabel42372[[#This Row],[SN]],Deelnemers[#All],8,0)&gt;0,"BM",MATCH(Tabel42372[[#This Row],[Sorteren]],Tabel42372[Sorteren],0)-COUNTIF($B$7:$B11,"BM")))</f>
        <v>5</v>
      </c>
      <c r="D12" t="str">
        <f>IFERROR(VLOOKUP(Tabel42372[[#This Row],[SN]],Deelnemers[#All],3,0),"")</f>
        <v>martina Nosbisch</v>
      </c>
      <c r="E12" t="str">
        <f>IFERROR(VLOOKUP(Tabel42372[[#This Row],[SN]],Deelnemers[#All],4,0),"")</f>
        <v>Jim Knopf</v>
      </c>
      <c r="F12" s="2" t="str">
        <f>IFERROR(VLOOKUP(Tabel42372[[#This Row],[SN]],Deelnemers[#All],6,0),0)</f>
        <v>S</v>
      </c>
      <c r="G12" s="4">
        <v>6</v>
      </c>
      <c r="H12" s="12">
        <v>38.031999999999996</v>
      </c>
      <c r="I12" s="10"/>
      <c r="J12" s="10"/>
      <c r="K12" s="10">
        <v>3</v>
      </c>
      <c r="L12" s="11"/>
      <c r="M12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15</v>
      </c>
      <c r="N12" s="7">
        <f>IFERROR(PRODUCT($F$4,1/Tabel42372[[#This Row],[Tijd]]),0)</f>
        <v>4.6013883045856128</v>
      </c>
      <c r="O12">
        <f>SUM(Tabel42372[[#This Row],[W]],Tabel42372[[#This Row],[A]],Tabel42372[[#This Row],[F]])*5</f>
        <v>15</v>
      </c>
      <c r="P12" t="str">
        <f>TEXT(Tabel42372[[#This Row],[Score]],"00,00")&amp;TEXT(Tabel42372[[#This Row],[Fouten]],"00")&amp;TEXT(Tabel42372[[#This Row],[Tijd]],"00,000")</f>
        <v>15,001538,032</v>
      </c>
      <c r="Q12" t="str">
        <f>IF(IFERROR(VLOOKUP(Tabel42372[[#This Row],[SN]],Deelnemers[#All],7,0),0)&lt;&gt;$C$4,"Loopt niet in deze klasse!",IF(COUNTIF(Tabel42372[SN],Tabel42372[[#This Row],[SN]])&gt;1,"Dubbel",""))</f>
        <v/>
      </c>
    </row>
    <row r="13" spans="1:19" x14ac:dyDescent="0.3">
      <c r="A13">
        <f>IFERROR(VLOOKUP(Tabel42372[[#This Row],[SN]],Deelnemers[#All],2,0),"")</f>
        <v>2023012</v>
      </c>
      <c r="B13" s="6">
        <f>IF(Tabel42372[[#This Row],[Score]]="Disk",0,IF(VLOOKUP(Tabel42372[[#This Row],[SN]],Deelnemers[#All],8,0)&gt;0,"BM",MATCH(Tabel42372[[#This Row],[Sorteren]],Tabel42372[Sorteren],0)-COUNTIF($B$7:$B12,"BM")))</f>
        <v>6</v>
      </c>
      <c r="D13" t="str">
        <f>IFERROR(VLOOKUP(Tabel42372[[#This Row],[SN]],Deelnemers[#All],3,0),"")</f>
        <v>Jana Kämpfe</v>
      </c>
      <c r="E13" t="str">
        <f>IFERROR(VLOOKUP(Tabel42372[[#This Row],[SN]],Deelnemers[#All],4,0),"")</f>
        <v>Chewie</v>
      </c>
      <c r="F13" s="2" t="str">
        <f>IFERROR(VLOOKUP(Tabel42372[[#This Row],[SN]],Deelnemers[#All],6,0),0)</f>
        <v>S</v>
      </c>
      <c r="G13" s="4">
        <v>4</v>
      </c>
      <c r="H13" s="12">
        <v>65.790000000000006</v>
      </c>
      <c r="I13" s="10"/>
      <c r="J13" s="10"/>
      <c r="K13" s="10"/>
      <c r="L13" s="11"/>
      <c r="M13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15.790000000000006</v>
      </c>
      <c r="N13" s="7">
        <f>IFERROR(PRODUCT($F$4,1/Tabel42372[[#This Row],[Tijd]]),0)</f>
        <v>2.6599787201702383</v>
      </c>
      <c r="O13">
        <f>SUM(Tabel42372[[#This Row],[W]],Tabel42372[[#This Row],[A]],Tabel42372[[#This Row],[F]])*5</f>
        <v>0</v>
      </c>
      <c r="P13" t="str">
        <f>TEXT(Tabel42372[[#This Row],[Score]],"00,00")&amp;TEXT(Tabel42372[[#This Row],[Fouten]],"00")&amp;TEXT(Tabel42372[[#This Row],[Tijd]],"00,000")</f>
        <v>15,790065,790</v>
      </c>
      <c r="Q13" t="str">
        <f>IF(IFERROR(VLOOKUP(Tabel42372[[#This Row],[SN]],Deelnemers[#All],7,0),0)&lt;&gt;$C$4,"Loopt niet in deze klasse!",IF(COUNTIF(Tabel42372[SN],Tabel42372[[#This Row],[SN]])&gt;1,"Dubbel",""))</f>
        <v/>
      </c>
    </row>
    <row r="14" spans="1:19" x14ac:dyDescent="0.3">
      <c r="A14">
        <f>IFERROR(VLOOKUP(Tabel42372[[#This Row],[SN]],Deelnemers[#All],2,0),"")</f>
        <v>2024015</v>
      </c>
      <c r="B14" s="6">
        <f>IF(Tabel42372[[#This Row],[Score]]="Disk",0,IF(VLOOKUP(Tabel42372[[#This Row],[SN]],Deelnemers[#All],8,0)&gt;0,"BM",MATCH(Tabel42372[[#This Row],[Sorteren]],Tabel42372[Sorteren],0)-COUNTIF($B$7:$B13,"BM")))</f>
        <v>7</v>
      </c>
      <c r="D14" t="str">
        <f>IFERROR(VLOOKUP(Tabel42372[[#This Row],[SN]],Deelnemers[#All],3,0),"")</f>
        <v>Martina Nosbisch</v>
      </c>
      <c r="E14" t="str">
        <f>IFERROR(VLOOKUP(Tabel42372[[#This Row],[SN]],Deelnemers[#All],4,0),"")</f>
        <v>Emma</v>
      </c>
      <c r="F14" s="2" t="str">
        <f>IFERROR(VLOOKUP(Tabel42372[[#This Row],[SN]],Deelnemers[#All],6,0),0)</f>
        <v>S</v>
      </c>
      <c r="G14" s="4">
        <v>1</v>
      </c>
      <c r="H14" s="12">
        <v>69.599999999999994</v>
      </c>
      <c r="I14" s="10"/>
      <c r="J14" s="10"/>
      <c r="K14" s="10"/>
      <c r="L14" s="11"/>
      <c r="M14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19.599999999999994</v>
      </c>
      <c r="N14" s="7">
        <f>IFERROR(PRODUCT($F$4,1/Tabel42372[[#This Row],[Tijd]]),0)</f>
        <v>2.5143678160919545</v>
      </c>
      <c r="O14">
        <f>SUM(Tabel42372[[#This Row],[W]],Tabel42372[[#This Row],[A]],Tabel42372[[#This Row],[F]])*5</f>
        <v>0</v>
      </c>
      <c r="P14" t="str">
        <f>TEXT(Tabel42372[[#This Row],[Score]],"00,00")&amp;TEXT(Tabel42372[[#This Row],[Fouten]],"00")&amp;TEXT(Tabel42372[[#This Row],[Tijd]],"00,000")</f>
        <v>19,600069,600</v>
      </c>
      <c r="Q14" t="str">
        <f>IF(IFERROR(VLOOKUP(Tabel42372[[#This Row],[SN]],Deelnemers[#All],7,0),0)&lt;&gt;$C$4,"Loopt niet in deze klasse!",IF(COUNTIF(Tabel42372[SN],Tabel42372[[#This Row],[SN]])&gt;1,"Dubbel",""))</f>
        <v/>
      </c>
    </row>
    <row r="15" spans="1:19" x14ac:dyDescent="0.3">
      <c r="A15">
        <f>IFERROR(VLOOKUP(Tabel42372[[#This Row],[SN]],Deelnemers[#All],2,0),"")</f>
        <v>2023083</v>
      </c>
      <c r="B15" s="6">
        <f>IF(Tabel42372[[#This Row],[Score]]="Disk",0,IF(VLOOKUP(Tabel42372[[#This Row],[SN]],Deelnemers[#All],8,0)&gt;0,"BM",MATCH(Tabel42372[[#This Row],[Sorteren]],Tabel42372[Sorteren],0)-COUNTIF($B$7:$B14,"BM")))</f>
        <v>0</v>
      </c>
      <c r="D15" t="str">
        <f>IFERROR(VLOOKUP(Tabel42372[[#This Row],[SN]],Deelnemers[#All],3,0),"")</f>
        <v>Isa Bouten</v>
      </c>
      <c r="E15" t="str">
        <f>IFERROR(VLOOKUP(Tabel42372[[#This Row],[SN]],Deelnemers[#All],4,0),"")</f>
        <v>Bowie</v>
      </c>
      <c r="F15" s="2" t="str">
        <f>IFERROR(VLOOKUP(Tabel42372[[#This Row],[SN]],Deelnemers[#All],6,0),0)</f>
        <v>S</v>
      </c>
      <c r="G15" s="4">
        <v>7</v>
      </c>
      <c r="H15" s="12"/>
      <c r="I15" s="10"/>
      <c r="J15" s="10"/>
      <c r="K15" s="10"/>
      <c r="L15" s="11">
        <v>1</v>
      </c>
      <c r="M15" t="str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Disk</v>
      </c>
      <c r="N15" s="7">
        <f>IFERROR(PRODUCT($F$4,1/Tabel42372[[#This Row],[Tijd]]),0)</f>
        <v>0</v>
      </c>
      <c r="O15">
        <f>SUM(Tabel42372[[#This Row],[W]],Tabel42372[[#This Row],[A]],Tabel42372[[#This Row],[F]])*5</f>
        <v>0</v>
      </c>
      <c r="P15" t="str">
        <f>TEXT(Tabel42372[[#This Row],[Score]],"00,00")&amp;TEXT(Tabel42372[[#This Row],[Fouten]],"00")&amp;TEXT(Tabel42372[[#This Row],[Tijd]],"00,000")</f>
        <v>Disk0000,000</v>
      </c>
      <c r="Q15" t="str">
        <f>IF(IFERROR(VLOOKUP(Tabel42372[[#This Row],[SN]],Deelnemers[#All],7,0),0)&lt;&gt;$C$4,"Loopt niet in deze klasse!",IF(COUNTIF(Tabel42372[SN],Tabel42372[[#This Row],[SN]])&gt;1,"Dubbel",""))</f>
        <v/>
      </c>
    </row>
    <row r="16" spans="1:19" x14ac:dyDescent="0.3">
      <c r="A16">
        <f>IFERROR(VLOOKUP(Tabel42372[[#This Row],[SN]],Deelnemers[#All],2,0),"")</f>
        <v>2023035</v>
      </c>
      <c r="B16" s="6">
        <f>IF(Tabel42372[[#This Row],[Score]]="Disk",0,IF(VLOOKUP(Tabel42372[[#This Row],[SN]],Deelnemers[#All],8,0)&gt;0,"BM",MATCH(Tabel42372[[#This Row],[Sorteren]],Tabel42372[Sorteren],0)-COUNTIF($B$7:$B15,"BM")))</f>
        <v>0</v>
      </c>
      <c r="D16" t="str">
        <f>IFERROR(VLOOKUP(Tabel42372[[#This Row],[SN]],Deelnemers[#All],3,0),"")</f>
        <v>Carla Giesbertz</v>
      </c>
      <c r="E16" t="str">
        <f>IFERROR(VLOOKUP(Tabel42372[[#This Row],[SN]],Deelnemers[#All],4,0),"")</f>
        <v>Ruby</v>
      </c>
      <c r="F16" s="2" t="str">
        <f>IFERROR(VLOOKUP(Tabel42372[[#This Row],[SN]],Deelnemers[#All],6,0),0)</f>
        <v>M</v>
      </c>
      <c r="G16" s="4">
        <v>10</v>
      </c>
      <c r="H16" s="12"/>
      <c r="I16" s="10"/>
      <c r="J16" s="10"/>
      <c r="K16" s="10"/>
      <c r="L16" s="11">
        <v>1</v>
      </c>
      <c r="M16" t="str">
        <f>IF(OR($C$5="Jumping",$C$5="Vast Parcours",$C$5="Vast Parcours Spel",$C$5="Jumping Spel"),IF(OR(Tabel42372[[#This Row],[Disk]]&gt;0,Tabel42372[[#This Row],[W]]&gt;=3,Tabel42372[[#This Row],[Tijd]]&gt;$F$3),"Disk",IF(ISBLANK(Tabel42372[[#This Row],[Tijd]]),"",Tabel42372[[#This Row],[Fouten]]+MAX(0,Tabel42372[[#This Row],[Tijd]]-$F$2))),"-")</f>
        <v>Disk</v>
      </c>
      <c r="N16" s="26">
        <f>IFERROR(PRODUCT($F$4,1/Tabel42372[[#This Row],[Tijd]]),0)</f>
        <v>0</v>
      </c>
      <c r="O16">
        <f>SUM(Tabel42372[[#This Row],[W]],Tabel42372[[#This Row],[A]],Tabel42372[[#This Row],[F]])*5</f>
        <v>0</v>
      </c>
      <c r="P16" t="str">
        <f>TEXT(Tabel42372[[#This Row],[Score]],"00,00")&amp;TEXT(Tabel42372[[#This Row],[Fouten]],"00")&amp;TEXT(Tabel42372[[#This Row],[Tijd]],"00,000")</f>
        <v>Disk0000,000</v>
      </c>
      <c r="Q16" t="str">
        <f>IF(IFERROR(VLOOKUP(Tabel42372[[#This Row],[SN]],Deelnemers[#All],7,0),0)&lt;&gt;$C$4,"Loopt niet in deze klasse!",IF(COUNTIF(Tabel42372[SN],Tabel42372[[#This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ecimal" operator="greaterThan" allowBlank="1" showInputMessage="1" showErrorMessage="1" sqref="F2:F4" xr:uid="{FC2A01C5-53E6-4BAC-A9BA-20C265BEAEAF}">
      <formula1>0</formula1>
    </dataValidation>
    <dataValidation type="list" allowBlank="1" showInputMessage="1" showErrorMessage="1" sqref="C4" xr:uid="{F22933E5-6C4A-4A3B-8924-67E7737110D7}">
      <formula1>KlasseLijst</formula1>
    </dataValidation>
    <dataValidation type="list" allowBlank="1" showInputMessage="1" showErrorMessage="1" sqref="E5 C5" xr:uid="{63DF9900-8143-48F1-8968-938BCA46E732}">
      <formula1>OnderdelenLijst</formula1>
    </dataValidation>
    <dataValidation type="date" operator="greaterThan" allowBlank="1" showInputMessage="1" showErrorMessage="1" sqref="C3:D3" xr:uid="{C387A733-F937-4423-B261-C4829FC99A86}">
      <formula1>41609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5794-C7E0-4553-BA83-D44620CFFE3F}">
  <sheetPr>
    <pageSetUpPr fitToPage="1"/>
  </sheetPr>
  <dimension ref="A1:S20"/>
  <sheetViews>
    <sheetView topLeftCell="A4" workbookViewId="0">
      <selection activeCell="A18" sqref="A18:XFD18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170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50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75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17</v>
      </c>
      <c r="D4" s="27"/>
      <c r="E4" s="3" t="s">
        <v>47</v>
      </c>
      <c r="F4" s="4">
        <v>175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16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IFERROR(VLOOKUP(Tabel423723[[#This Row],[SN]],Deelnemers[#All],2,0),"")</f>
        <v>2023053</v>
      </c>
      <c r="B8" s="6">
        <f>IF(Tabel423723[[#This Row],[Score]]="Disk",0,IF(VLOOKUP(Tabel423723[[#This Row],[SN]],Deelnemers[#All],8,0)&gt;0,"BM",MATCH(Tabel423723[[#This Row],[Sorteren]],Tabel423723[Sorteren],0)-COUNTIF($B$7:$B7,"BM")))</f>
        <v>1</v>
      </c>
      <c r="D8" t="str">
        <f>IFERROR(VLOOKUP(Tabel423723[[#This Row],[SN]],Deelnemers[#All],3,0),"")</f>
        <v>Peggy Vos</v>
      </c>
      <c r="E8" t="str">
        <f>IFERROR(VLOOKUP(Tabel423723[[#This Row],[SN]],Deelnemers[#All],4,0),"")</f>
        <v>Bee like Qailey</v>
      </c>
      <c r="F8" s="2" t="str">
        <f>IFERROR(VLOOKUP(Tabel423723[[#This Row],[SN]],Deelnemers[#All],6,0),0)</f>
        <v>In</v>
      </c>
      <c r="G8" s="4">
        <v>13</v>
      </c>
      <c r="H8" s="12">
        <v>31.71</v>
      </c>
      <c r="I8" s="10"/>
      <c r="J8" s="10"/>
      <c r="K8" s="10"/>
      <c r="L8" s="11"/>
      <c r="M8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0</v>
      </c>
      <c r="N8" s="7">
        <f>IFERROR(PRODUCT($F$4,1/Tabel423723[[#This Row],[Tijd]]),0)</f>
        <v>5.518763796909492</v>
      </c>
      <c r="O8">
        <f>SUM(Tabel423723[[#This Row],[W]],Tabel423723[[#This Row],[A]],Tabel423723[[#This Row],[F]])*5</f>
        <v>0</v>
      </c>
      <c r="P8" t="str">
        <f>TEXT(Tabel423723[[#This Row],[Score]],"00,00")&amp;TEXT(Tabel423723[[#This Row],[Fouten]],"00")&amp;TEXT(Tabel423723[[#This Row],[Tijd]],"00,000")</f>
        <v>00,000031,710</v>
      </c>
      <c r="Q8" t="str">
        <f>IF(IFERROR(VLOOKUP(Tabel423723[[#This Row],[SN]],Deelnemers[#All],7,0),0)&lt;&gt;$C$4,"Loopt niet in deze klasse!",IF(COUNTIF(Tabel423723[SN],Tabel423723[[#This Row],[SN]])&gt;1,"Dubbel",""))</f>
        <v/>
      </c>
      <c r="S8" t="s">
        <v>9</v>
      </c>
    </row>
    <row r="9" spans="1:19" x14ac:dyDescent="0.3">
      <c r="A9">
        <f>IFERROR(VLOOKUP(Tabel423723[[#This Row],[SN]],Deelnemers[#All],2,0),"")</f>
        <v>2024003</v>
      </c>
      <c r="B9" s="6">
        <f>IF(Tabel423723[[#This Row],[Score]]="Disk",0,IF(VLOOKUP(Tabel423723[[#This Row],[SN]],Deelnemers[#All],8,0)&gt;0,"BM",MATCH(Tabel423723[[#This Row],[Sorteren]],Tabel423723[Sorteren],0)-COUNTIF($B$7:$B8,"BM")))</f>
        <v>2</v>
      </c>
      <c r="D9" t="str">
        <f>IFERROR(VLOOKUP(Tabel423723[[#This Row],[SN]],Deelnemers[#All],3,0),"")</f>
        <v>Margie Scipio</v>
      </c>
      <c r="E9" t="str">
        <f>IFERROR(VLOOKUP(Tabel423723[[#This Row],[SN]],Deelnemers[#All],4,0),"")</f>
        <v>Kenna</v>
      </c>
      <c r="F9" s="2" t="str">
        <f>IFERROR(VLOOKUP(Tabel423723[[#This Row],[SN]],Deelnemers[#All],6,0),0)</f>
        <v>L</v>
      </c>
      <c r="G9" s="4">
        <v>18</v>
      </c>
      <c r="H9" s="12">
        <v>36.65</v>
      </c>
      <c r="I9" s="10"/>
      <c r="J9" s="10"/>
      <c r="K9" s="10"/>
      <c r="L9" s="11"/>
      <c r="M9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0</v>
      </c>
      <c r="N9" s="7">
        <f>IFERROR(PRODUCT($F$4,1/Tabel423723[[#This Row],[Tijd]]),0)</f>
        <v>4.774897680763984</v>
      </c>
      <c r="O9">
        <f>SUM(Tabel423723[[#This Row],[W]],Tabel423723[[#This Row],[A]],Tabel423723[[#This Row],[F]])*5</f>
        <v>0</v>
      </c>
      <c r="P9" t="str">
        <f>TEXT(Tabel423723[[#This Row],[Score]],"00,00")&amp;TEXT(Tabel423723[[#This Row],[Fouten]],"00")&amp;TEXT(Tabel423723[[#This Row],[Tijd]],"00,000")</f>
        <v>00,000036,650</v>
      </c>
      <c r="Q9" t="str">
        <f>IF(IFERROR(VLOOKUP(Tabel423723[[#This Row],[SN]],Deelnemers[#All],7,0),0)&lt;&gt;$C$4,"Loopt niet in deze klasse!",IF(COUNTIF(Tabel423723[SN],Tabel423723[[#This Row],[SN]])&gt;1,"Dubbel",""))</f>
        <v/>
      </c>
      <c r="S9" s="8" t="s">
        <v>12</v>
      </c>
    </row>
    <row r="10" spans="1:19" x14ac:dyDescent="0.3">
      <c r="A10">
        <f>IFERROR(VLOOKUP(Tabel423723[[#This Row],[SN]],Deelnemers[#All],2,0),"")</f>
        <v>2023043</v>
      </c>
      <c r="B10" s="6">
        <f>IF(Tabel423723[[#This Row],[Score]]="Disk",0,IF(VLOOKUP(Tabel423723[[#This Row],[SN]],Deelnemers[#All],8,0)&gt;0,"BM",MATCH(Tabel423723[[#This Row],[Sorteren]],Tabel423723[Sorteren],0)-COUNTIF($B$7:$B9,"BM")))</f>
        <v>3</v>
      </c>
      <c r="D10" t="str">
        <f>IFERROR(VLOOKUP(Tabel423723[[#This Row],[SN]],Deelnemers[#All],3,0),"")</f>
        <v>Ellie Cramers</v>
      </c>
      <c r="E10" t="str">
        <f>IFERROR(VLOOKUP(Tabel423723[[#This Row],[SN]],Deelnemers[#All],4,0),"")</f>
        <v>Lou</v>
      </c>
      <c r="F10" s="2" t="str">
        <f>IFERROR(VLOOKUP(Tabel423723[[#This Row],[SN]],Deelnemers[#All],6,0),0)</f>
        <v>In</v>
      </c>
      <c r="G10" s="4">
        <v>12</v>
      </c>
      <c r="H10" s="12">
        <v>43.06</v>
      </c>
      <c r="I10" s="10"/>
      <c r="J10" s="10"/>
      <c r="K10" s="10">
        <v>1</v>
      </c>
      <c r="L10" s="11"/>
      <c r="M10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5</v>
      </c>
      <c r="N10" s="7">
        <f>IFERROR(PRODUCT($F$4,1/Tabel423723[[#This Row],[Tijd]]),0)</f>
        <v>4.0640966093822577</v>
      </c>
      <c r="O10">
        <f>SUM(Tabel423723[[#This Row],[W]],Tabel423723[[#This Row],[A]],Tabel423723[[#This Row],[F]])*5</f>
        <v>5</v>
      </c>
      <c r="P10" t="str">
        <f>TEXT(Tabel423723[[#This Row],[Score]],"00,00")&amp;TEXT(Tabel423723[[#This Row],[Fouten]],"00")&amp;TEXT(Tabel423723[[#This Row],[Tijd]],"00,000")</f>
        <v>05,000543,060</v>
      </c>
      <c r="Q10" t="str">
        <f>IF(IFERROR(VLOOKUP(Tabel423723[[#This Row],[SN]],Deelnemers[#All],7,0),0)&lt;&gt;$C$4,"Loopt niet in deze klasse!",IF(COUNTIF(Tabel423723[SN],Tabel423723[[#This Row],[SN]])&gt;1,"Dubbel",""))</f>
        <v/>
      </c>
    </row>
    <row r="11" spans="1:19" x14ac:dyDescent="0.3">
      <c r="A11">
        <f>IFERROR(VLOOKUP(Tabel423723[[#This Row],[SN]],Deelnemers[#All],2,0),"")</f>
        <v>2020049</v>
      </c>
      <c r="B11" s="6">
        <f>IF(Tabel423723[[#This Row],[Score]]="Disk",0,IF(VLOOKUP(Tabel423723[[#This Row],[SN]],Deelnemers[#All],8,0)&gt;0,"BM",MATCH(Tabel423723[[#This Row],[Sorteren]],Tabel423723[Sorteren],0)-COUNTIF($B$7:$B10,"BM")))</f>
        <v>4</v>
      </c>
      <c r="D11" t="str">
        <f>IFERROR(VLOOKUP(Tabel423723[[#This Row],[SN]],Deelnemers[#All],3,0),"")</f>
        <v>Esther Bemelmans</v>
      </c>
      <c r="E11" t="str">
        <f>IFERROR(VLOOKUP(Tabel423723[[#This Row],[SN]],Deelnemers[#All],4,0),"")</f>
        <v>Bliss</v>
      </c>
      <c r="F11" s="2" t="str">
        <f>IFERROR(VLOOKUP(Tabel423723[[#This Row],[SN]],Deelnemers[#All],6,0),0)</f>
        <v>L</v>
      </c>
      <c r="G11" s="4">
        <v>22</v>
      </c>
      <c r="H11" s="12">
        <v>46.75</v>
      </c>
      <c r="I11" s="10"/>
      <c r="J11" s="10"/>
      <c r="K11" s="10">
        <v>2</v>
      </c>
      <c r="L11" s="11"/>
      <c r="M11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10</v>
      </c>
      <c r="N11" s="7">
        <f>IFERROR(PRODUCT($F$4,1/Tabel423723[[#This Row],[Tijd]]),0)</f>
        <v>3.7433155080213902</v>
      </c>
      <c r="O11">
        <f>SUM(Tabel423723[[#This Row],[W]],Tabel423723[[#This Row],[A]],Tabel423723[[#This Row],[F]])*5</f>
        <v>10</v>
      </c>
      <c r="P11" t="str">
        <f>TEXT(Tabel423723[[#This Row],[Score]],"00,00")&amp;TEXT(Tabel423723[[#This Row],[Fouten]],"00")&amp;TEXT(Tabel423723[[#This Row],[Tijd]],"00,000")</f>
        <v>10,001046,750</v>
      </c>
      <c r="Q11" t="str">
        <f>IF(IFERROR(VLOOKUP(Tabel423723[[#This Row],[SN]],Deelnemers[#All],7,0),0)&lt;&gt;$C$4,"Loopt niet in deze klasse!",IF(COUNTIF(Tabel423723[SN],Tabel423723[[#This Row],[SN]])&gt;1,"Dubbel",""))</f>
        <v/>
      </c>
    </row>
    <row r="12" spans="1:19" x14ac:dyDescent="0.3">
      <c r="A12">
        <f>IFERROR(VLOOKUP(Tabel423723[[#This Row],[SN]],Deelnemers[#All],2,0),"")</f>
        <v>2022058</v>
      </c>
      <c r="B12" s="6">
        <f>IF(Tabel423723[[#This Row],[Score]]="Disk",0,IF(VLOOKUP(Tabel423723[[#This Row],[SN]],Deelnemers[#All],8,0)&gt;0,"BM",MATCH(Tabel423723[[#This Row],[Sorteren]],Tabel423723[Sorteren],0)-COUNTIF($B$7:$B11,"BM")))</f>
        <v>5</v>
      </c>
      <c r="D12" t="str">
        <f>IFERROR(VLOOKUP(Tabel423723[[#This Row],[SN]],Deelnemers[#All],3,0),"")</f>
        <v>Thomas Jansen</v>
      </c>
      <c r="E12" t="str">
        <f>IFERROR(VLOOKUP(Tabel423723[[#This Row],[SN]],Deelnemers[#All],4,0),"")</f>
        <v>Merlin</v>
      </c>
      <c r="F12" s="2" t="str">
        <f>IFERROR(VLOOKUP(Tabel423723[[#This Row],[SN]],Deelnemers[#All],6,0),0)</f>
        <v>L</v>
      </c>
      <c r="G12" s="4">
        <v>29</v>
      </c>
      <c r="H12" s="12">
        <v>48.41</v>
      </c>
      <c r="I12" s="10">
        <v>1</v>
      </c>
      <c r="J12" s="10"/>
      <c r="K12" s="10">
        <v>2</v>
      </c>
      <c r="L12" s="11"/>
      <c r="M12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15</v>
      </c>
      <c r="N12" s="7">
        <f>IFERROR(PRODUCT($F$4,1/Tabel423723[[#This Row],[Tijd]]),0)</f>
        <v>3.6149555876884945</v>
      </c>
      <c r="O12">
        <f>SUM(Tabel423723[[#This Row],[W]],Tabel423723[[#This Row],[A]],Tabel423723[[#This Row],[F]])*5</f>
        <v>15</v>
      </c>
      <c r="P12" t="str">
        <f>TEXT(Tabel423723[[#This Row],[Score]],"00,00")&amp;TEXT(Tabel423723[[#This Row],[Fouten]],"00")&amp;TEXT(Tabel423723[[#This Row],[Tijd]],"00,000")</f>
        <v>15,001548,410</v>
      </c>
      <c r="Q12" t="str">
        <f>IF(IFERROR(VLOOKUP(Tabel423723[[#This Row],[SN]],Deelnemers[#All],7,0),0)&lt;&gt;$C$4,"Loopt niet in deze klasse!",IF(COUNTIF(Tabel423723[SN],Tabel423723[[#This Row],[SN]])&gt;1,"Dubbel",""))</f>
        <v/>
      </c>
    </row>
    <row r="13" spans="1:19" x14ac:dyDescent="0.3">
      <c r="A13">
        <f>IFERROR(VLOOKUP(Tabel423723[[#This Row],[SN]],Deelnemers[#All],2,0),"")</f>
        <v>2023060</v>
      </c>
      <c r="B13" s="6">
        <f>IF(Tabel423723[[#This Row],[Score]]="Disk",0,IF(VLOOKUP(Tabel423723[[#This Row],[SN]],Deelnemers[#All],8,0)&gt;0,"BM",MATCH(Tabel423723[[#This Row],[Sorteren]],Tabel423723[Sorteren],0)-COUNTIF($B$7:$B12,"BM")))</f>
        <v>0</v>
      </c>
      <c r="D13" t="str">
        <f>IFERROR(VLOOKUP(Tabel423723[[#This Row],[SN]],Deelnemers[#All],3,0),"")</f>
        <v>Els Schouren</v>
      </c>
      <c r="E13" t="str">
        <f>IFERROR(VLOOKUP(Tabel423723[[#This Row],[SN]],Deelnemers[#All],4,0),"")</f>
        <v>Buddy</v>
      </c>
      <c r="F13" s="2" t="str">
        <f>IFERROR(VLOOKUP(Tabel423723[[#This Row],[SN]],Deelnemers[#All],6,0),0)</f>
        <v>In</v>
      </c>
      <c r="G13" s="4">
        <v>15</v>
      </c>
      <c r="H13" s="12"/>
      <c r="I13" s="10"/>
      <c r="J13" s="10"/>
      <c r="K13" s="10"/>
      <c r="L13" s="11">
        <v>1</v>
      </c>
      <c r="M13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3" s="7">
        <f>IFERROR(PRODUCT($F$4,1/Tabel423723[[#This Row],[Tijd]]),0)</f>
        <v>0</v>
      </c>
      <c r="O13">
        <f>SUM(Tabel423723[[#This Row],[W]],Tabel423723[[#This Row],[A]],Tabel423723[[#This Row],[F]])*5</f>
        <v>0</v>
      </c>
      <c r="P13" t="str">
        <f>TEXT(Tabel423723[[#This Row],[Score]],"00,00")&amp;TEXT(Tabel423723[[#This Row],[Fouten]],"00")&amp;TEXT(Tabel423723[[#This Row],[Tijd]],"00,000")</f>
        <v>Disk0000,000</v>
      </c>
      <c r="Q13" t="str">
        <f>IF(IFERROR(VLOOKUP(Tabel423723[[#This Row],[SN]],Deelnemers[#All],7,0),0)&lt;&gt;$C$4,"Loopt niet in deze klasse!",IF(COUNTIF(Tabel423723[SN],Tabel423723[[#This Row],[SN]])&gt;1,"Dubbel",""))</f>
        <v/>
      </c>
    </row>
    <row r="14" spans="1:19" x14ac:dyDescent="0.3">
      <c r="A14">
        <f>IFERROR(VLOOKUP(Tabel423723[[#This Row],[SN]],Deelnemers[#All],2,0),"")</f>
        <v>2023033</v>
      </c>
      <c r="B14" s="6">
        <f>IF(Tabel423723[[#This Row],[Score]]="Disk",0,IF(VLOOKUP(Tabel423723[[#This Row],[SN]],Deelnemers[#All],8,0)&gt;0,"BM",MATCH(Tabel423723[[#This Row],[Sorteren]],Tabel423723[Sorteren],0)-COUNTIF($B$7:$B13,"BM")))</f>
        <v>0</v>
      </c>
      <c r="D14" t="str">
        <f>IFERROR(VLOOKUP(Tabel423723[[#This Row],[SN]],Deelnemers[#All],3,0),"")</f>
        <v>Kars Grit</v>
      </c>
      <c r="E14" t="str">
        <f>IFERROR(VLOOKUP(Tabel423723[[#This Row],[SN]],Deelnemers[#All],4,0),"")</f>
        <v>Cole</v>
      </c>
      <c r="F14" s="2" t="str">
        <f>IFERROR(VLOOKUP(Tabel423723[[#This Row],[SN]],Deelnemers[#All],6,0),0)</f>
        <v>L</v>
      </c>
      <c r="G14" s="4">
        <v>17</v>
      </c>
      <c r="H14" s="12"/>
      <c r="I14" s="10"/>
      <c r="J14" s="10"/>
      <c r="K14" s="10"/>
      <c r="L14" s="11">
        <v>1</v>
      </c>
      <c r="M14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4" s="7">
        <f>IFERROR(PRODUCT($F$4,1/Tabel423723[[#This Row],[Tijd]]),0)</f>
        <v>0</v>
      </c>
      <c r="O14">
        <f>SUM(Tabel423723[[#This Row],[W]],Tabel423723[[#This Row],[A]],Tabel423723[[#This Row],[F]])*5</f>
        <v>0</v>
      </c>
      <c r="P14" t="str">
        <f>TEXT(Tabel423723[[#This Row],[Score]],"00,00")&amp;TEXT(Tabel423723[[#This Row],[Fouten]],"00")&amp;TEXT(Tabel423723[[#This Row],[Tijd]],"00,000")</f>
        <v>Disk0000,000</v>
      </c>
      <c r="Q14" t="str">
        <f>IF(IFERROR(VLOOKUP(Tabel423723[[#This Row],[SN]],Deelnemers[#All],7,0),0)&lt;&gt;$C$4,"Loopt niet in deze klasse!",IF(COUNTIF(Tabel423723[SN],Tabel423723[[#This Row],[SN]])&gt;1,"Dubbel",""))</f>
        <v/>
      </c>
    </row>
    <row r="15" spans="1:19" x14ac:dyDescent="0.3">
      <c r="A15">
        <f>IFERROR(VLOOKUP(Tabel423723[[#This Row],[SN]],Deelnemers[#All],2,0),"")</f>
        <v>2023057</v>
      </c>
      <c r="B15" s="6">
        <f>IF(Tabel423723[[#This Row],[Score]]="Disk",0,IF(VLOOKUP(Tabel423723[[#This Row],[SN]],Deelnemers[#All],8,0)&gt;0,"BM",MATCH(Tabel423723[[#This Row],[Sorteren]],Tabel423723[Sorteren],0)-COUNTIF($B$7:$B14,"BM")))</f>
        <v>0</v>
      </c>
      <c r="D15" t="str">
        <f>IFERROR(VLOOKUP(Tabel423723[[#This Row],[SN]],Deelnemers[#All],3,0),"")</f>
        <v>Tamara Hansen</v>
      </c>
      <c r="E15" t="str">
        <f>IFERROR(VLOOKUP(Tabel423723[[#This Row],[SN]],Deelnemers[#All],4,0),"")</f>
        <v>Zury</v>
      </c>
      <c r="F15" s="2" t="str">
        <f>IFERROR(VLOOKUP(Tabel423723[[#This Row],[SN]],Deelnemers[#All],6,0),0)</f>
        <v>L</v>
      </c>
      <c r="G15" s="4">
        <v>20</v>
      </c>
      <c r="H15" s="12"/>
      <c r="I15" s="10"/>
      <c r="J15" s="10"/>
      <c r="K15" s="10"/>
      <c r="L15" s="11">
        <v>1</v>
      </c>
      <c r="M15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5" s="7">
        <f>IFERROR(PRODUCT($F$4,1/Tabel423723[[#This Row],[Tijd]]),0)</f>
        <v>0</v>
      </c>
      <c r="O15">
        <f>SUM(Tabel423723[[#This Row],[W]],Tabel423723[[#This Row],[A]],Tabel423723[[#This Row],[F]])*5</f>
        <v>0</v>
      </c>
      <c r="P15" t="str">
        <f>TEXT(Tabel423723[[#This Row],[Score]],"00,00")&amp;TEXT(Tabel423723[[#This Row],[Fouten]],"00")&amp;TEXT(Tabel423723[[#This Row],[Tijd]],"00,000")</f>
        <v>Disk0000,000</v>
      </c>
      <c r="Q15" t="str">
        <f>IF(IFERROR(VLOOKUP(Tabel423723[[#This Row],[SN]],Deelnemers[#All],7,0),0)&lt;&gt;$C$4,"Loopt niet in deze klasse!",IF(COUNTIF(Tabel423723[SN],Tabel423723[[#This Row],[SN]])&gt;1,"Dubbel",""))</f>
        <v/>
      </c>
    </row>
    <row r="16" spans="1:19" x14ac:dyDescent="0.3">
      <c r="A16">
        <f>IFERROR(VLOOKUP(Tabel423723[[#This Row],[SN]],Deelnemers[#All],2,0),"")</f>
        <v>2024020</v>
      </c>
      <c r="B16" s="6">
        <f>IF(Tabel423723[[#This Row],[Score]]="Disk",0,IF(VLOOKUP(Tabel423723[[#This Row],[SN]],Deelnemers[#All],8,0)&gt;0,"BM",MATCH(Tabel423723[[#This Row],[Sorteren]],Tabel423723[Sorteren],0)-COUNTIF($B$7:$B15,"BM")))</f>
        <v>0</v>
      </c>
      <c r="D16" t="str">
        <f>IFERROR(VLOOKUP(Tabel423723[[#This Row],[SN]],Deelnemers[#All],3,0),"")</f>
        <v>Mirjam Suijlen-Boons</v>
      </c>
      <c r="E16" t="str">
        <f>IFERROR(VLOOKUP(Tabel423723[[#This Row],[SN]],Deelnemers[#All],4,0),"")</f>
        <v>Thor</v>
      </c>
      <c r="F16" s="2" t="str">
        <f>IFERROR(VLOOKUP(Tabel423723[[#This Row],[SN]],Deelnemers[#All],6,0),0)</f>
        <v>L</v>
      </c>
      <c r="G16" s="4">
        <v>21</v>
      </c>
      <c r="H16" s="12"/>
      <c r="I16" s="10"/>
      <c r="J16" s="10"/>
      <c r="K16" s="10"/>
      <c r="L16" s="11">
        <v>1</v>
      </c>
      <c r="M16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6" s="26">
        <f>IFERROR(PRODUCT($F$4,1/Tabel423723[[#This Row],[Tijd]]),0)</f>
        <v>0</v>
      </c>
      <c r="O16">
        <f>SUM(Tabel423723[[#This Row],[W]],Tabel423723[[#This Row],[A]],Tabel423723[[#This Row],[F]])*5</f>
        <v>0</v>
      </c>
      <c r="P16" t="str">
        <f>TEXT(Tabel423723[[#This Row],[Score]],"00,00")&amp;TEXT(Tabel423723[[#This Row],[Fouten]],"00")&amp;TEXT(Tabel423723[[#This Row],[Tijd]],"00,000")</f>
        <v>Disk0000,000</v>
      </c>
      <c r="Q16" t="str">
        <f>IF(IFERROR(VLOOKUP(Tabel423723[[#This Row],[SN]],Deelnemers[#All],7,0),0)&lt;&gt;$C$4,"Loopt niet in deze klasse!",IF(COUNTIF(Tabel423723[SN],Tabel423723[[#This Row],[SN]])&gt;1,"Dubbel",""))</f>
        <v/>
      </c>
    </row>
    <row r="17" spans="1:17" x14ac:dyDescent="0.3">
      <c r="A17">
        <f>IFERROR(VLOOKUP(Tabel423723[[#This Row],[SN]],Deelnemers[#All],2,0),"")</f>
        <v>2023068</v>
      </c>
      <c r="B17" s="6">
        <f>IF(Tabel423723[[#This Row],[Score]]="Disk",0,IF(VLOOKUP(Tabel423723[[#This Row],[SN]],Deelnemers[#All],8,0)&gt;0,"BM",MATCH(Tabel423723[[#This Row],[Sorteren]],Tabel423723[Sorteren],0)-COUNTIF($B$7:$B16,"BM")))</f>
        <v>0</v>
      </c>
      <c r="D17" t="str">
        <f>IFERROR(VLOOKUP(Tabel423723[[#This Row],[SN]],Deelnemers[#All],3,0),"")</f>
        <v>Irena Kokot</v>
      </c>
      <c r="E17" t="str">
        <f>IFERROR(VLOOKUP(Tabel423723[[#This Row],[SN]],Deelnemers[#All],4,0),"")</f>
        <v>Joker</v>
      </c>
      <c r="F17" s="2" t="str">
        <f>IFERROR(VLOOKUP(Tabel423723[[#This Row],[SN]],Deelnemers[#All],6,0),0)</f>
        <v>L</v>
      </c>
      <c r="G17" s="4">
        <v>23</v>
      </c>
      <c r="H17" s="12"/>
      <c r="I17" s="10"/>
      <c r="J17" s="10"/>
      <c r="K17" s="10"/>
      <c r="L17" s="11">
        <v>1</v>
      </c>
      <c r="M17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7" s="7">
        <f>IFERROR(PRODUCT($F$4,1/Tabel423723[[#This Row],[Tijd]]),0)</f>
        <v>0</v>
      </c>
      <c r="O17">
        <f>SUM(Tabel423723[[#This Row],[W]],Tabel423723[[#This Row],[A]],Tabel423723[[#This Row],[F]])*5</f>
        <v>0</v>
      </c>
      <c r="P17" t="str">
        <f>TEXT(Tabel423723[[#This Row],[Score]],"00,00")&amp;TEXT(Tabel423723[[#This Row],[Fouten]],"00")&amp;TEXT(Tabel423723[[#This Row],[Tijd]],"00,000")</f>
        <v>Disk0000,000</v>
      </c>
      <c r="Q17" t="str">
        <f>IF(IFERROR(VLOOKUP(Tabel423723[[#This Row],[SN]],Deelnemers[#All],7,0),0)&lt;&gt;$C$4,"Loopt niet in deze klasse!",IF(COUNTIF(Tabel423723[SN],Tabel423723[[#This Row],[SN]])&gt;1,"Dubbel",""))</f>
        <v/>
      </c>
    </row>
    <row r="18" spans="1:17" x14ac:dyDescent="0.3">
      <c r="A18">
        <f>IFERROR(VLOOKUP(Tabel423723[[#This Row],[SN]],Deelnemers[#All],2,0),"")</f>
        <v>2023044</v>
      </c>
      <c r="B18" s="6">
        <f>IF(Tabel423723[[#This Row],[Score]]="Disk",0,IF(VLOOKUP(Tabel423723[[#This Row],[SN]],Deelnemers[#All],8,0)&gt;0,"BM",MATCH(Tabel423723[[#This Row],[Sorteren]],Tabel423723[Sorteren],0)-COUNTIF($B$7:$B17,"BM")))</f>
        <v>0</v>
      </c>
      <c r="D18" t="str">
        <f>IFERROR(VLOOKUP(Tabel423723[[#This Row],[SN]],Deelnemers[#All],3,0),"")</f>
        <v>Tatiana Vasilevskaya</v>
      </c>
      <c r="E18" t="str">
        <f>IFERROR(VLOOKUP(Tabel423723[[#This Row],[SN]],Deelnemers[#All],4,0),"")</f>
        <v>Hurricane</v>
      </c>
      <c r="F18" s="2" t="str">
        <f>IFERROR(VLOOKUP(Tabel423723[[#This Row],[SN]],Deelnemers[#All],6,0),0)</f>
        <v>L</v>
      </c>
      <c r="G18" s="4">
        <v>24</v>
      </c>
      <c r="H18" s="12"/>
      <c r="I18" s="10"/>
      <c r="J18" s="10"/>
      <c r="K18" s="10"/>
      <c r="L18" s="11">
        <v>1</v>
      </c>
      <c r="M18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8" s="7">
        <f>IFERROR(PRODUCT($F$4,1/Tabel423723[[#This Row],[Tijd]]),0)</f>
        <v>0</v>
      </c>
      <c r="O18">
        <f>SUM(Tabel423723[[#This Row],[W]],Tabel423723[[#This Row],[A]],Tabel423723[[#This Row],[F]])*5</f>
        <v>0</v>
      </c>
      <c r="P18" t="str">
        <f>TEXT(Tabel423723[[#This Row],[Score]],"00,00")&amp;TEXT(Tabel423723[[#This Row],[Fouten]],"00")&amp;TEXT(Tabel423723[[#This Row],[Tijd]],"00,000")</f>
        <v>Disk0000,000</v>
      </c>
      <c r="Q18" t="str">
        <f>IF(IFERROR(VLOOKUP(Tabel423723[[#This Row],[SN]],Deelnemers[#All],7,0),0)&lt;&gt;$C$4,"Loopt niet in deze klasse!",IF(COUNTIF(Tabel423723[SN],Tabel423723[[#This Row],[SN]])&gt;1,"Dubbel",""))</f>
        <v/>
      </c>
    </row>
    <row r="19" spans="1:17" x14ac:dyDescent="0.3">
      <c r="A19">
        <f>IFERROR(VLOOKUP(Tabel423723[[#This Row],[SN]],Deelnemers[#All],2,0),"")</f>
        <v>2023022</v>
      </c>
      <c r="B19" s="6">
        <f>IF(Tabel423723[[#This Row],[Score]]="Disk",0,IF(VLOOKUP(Tabel423723[[#This Row],[SN]],Deelnemers[#All],8,0)&gt;0,"BM",MATCH(Tabel423723[[#This Row],[Sorteren]],Tabel423723[Sorteren],0)-COUNTIF($B$7:$B18,"BM")))</f>
        <v>0</v>
      </c>
      <c r="D19" t="str">
        <f>IFERROR(VLOOKUP(Tabel423723[[#This Row],[SN]],Deelnemers[#All],3,0),"")</f>
        <v>Nastasia Cerda-Gallego</v>
      </c>
      <c r="E19" t="str">
        <f>IFERROR(VLOOKUP(Tabel423723[[#This Row],[SN]],Deelnemers[#All],4,0),"")</f>
        <v>Bazinga</v>
      </c>
      <c r="F19" s="2" t="str">
        <f>IFERROR(VLOOKUP(Tabel423723[[#This Row],[SN]],Deelnemers[#All],6,0),0)</f>
        <v>L</v>
      </c>
      <c r="G19" s="4">
        <v>27</v>
      </c>
      <c r="H19" s="12"/>
      <c r="I19" s="10"/>
      <c r="J19" s="10"/>
      <c r="K19" s="10"/>
      <c r="L19" s="11">
        <v>1</v>
      </c>
      <c r="M19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19" s="7">
        <f>IFERROR(PRODUCT($F$4,1/Tabel423723[[#This Row],[Tijd]]),0)</f>
        <v>0</v>
      </c>
      <c r="O19">
        <f>SUM(Tabel423723[[#This Row],[W]],Tabel423723[[#This Row],[A]],Tabel423723[[#This Row],[F]])*5</f>
        <v>0</v>
      </c>
      <c r="P19" t="str">
        <f>TEXT(Tabel423723[[#This Row],[Score]],"00,00")&amp;TEXT(Tabel423723[[#This Row],[Fouten]],"00")&amp;TEXT(Tabel423723[[#This Row],[Tijd]],"00,000")</f>
        <v>Disk0000,000</v>
      </c>
      <c r="Q19" t="str">
        <f>IF(IFERROR(VLOOKUP(Tabel423723[[#This Row],[SN]],Deelnemers[#All],7,0),0)&lt;&gt;$C$4,"Loopt niet in deze klasse!",IF(COUNTIF(Tabel423723[SN],Tabel423723[[#This Row],[SN]])&gt;1,"Dubbel",""))</f>
        <v/>
      </c>
    </row>
    <row r="20" spans="1:17" x14ac:dyDescent="0.3">
      <c r="A20">
        <f>IFERROR(VLOOKUP(Tabel423723[[#This Row],[SN]],Deelnemers[#All],2,0),"")</f>
        <v>2022042</v>
      </c>
      <c r="B20" s="6">
        <f>IF(Tabel423723[[#This Row],[Score]]="Disk",0,IF(VLOOKUP(Tabel423723[[#This Row],[SN]],Deelnemers[#All],8,0)&gt;0,"BM",MATCH(Tabel423723[[#This Row],[Sorteren]],Tabel423723[Sorteren],0)-COUNTIF($B$7:$B19,"BM")))</f>
        <v>0</v>
      </c>
      <c r="D20" t="str">
        <f>IFERROR(VLOOKUP(Tabel423723[[#This Row],[SN]],Deelnemers[#All],3,0),"")</f>
        <v>Lynn Water van de</v>
      </c>
      <c r="E20" t="str">
        <f>IFERROR(VLOOKUP(Tabel423723[[#This Row],[SN]],Deelnemers[#All],4,0),"")</f>
        <v>Nera</v>
      </c>
      <c r="F20" s="2" t="str">
        <f>IFERROR(VLOOKUP(Tabel423723[[#This Row],[SN]],Deelnemers[#All],6,0),0)</f>
        <v>L</v>
      </c>
      <c r="G20" s="4">
        <v>28</v>
      </c>
      <c r="H20" s="12"/>
      <c r="I20" s="10"/>
      <c r="J20" s="10"/>
      <c r="K20" s="10"/>
      <c r="L20" s="11">
        <v>1</v>
      </c>
      <c r="M20" t="str">
        <f>IF(OR($C$5="Jumping",$C$5="Vast Parcours",$C$5="Vast Parcours Spel",$C$5="Jumping Spel"),IF(OR(Tabel423723[[#This Row],[Disk]]&gt;0,Tabel423723[[#This Row],[W]]&gt;=3,Tabel423723[[#This Row],[Tijd]]&gt;$F$3),"Disk",IF(ISBLANK(Tabel423723[[#This Row],[Tijd]]),"",Tabel423723[[#This Row],[Fouten]]+MAX(0,Tabel423723[[#This Row],[Tijd]]-$F$2))),"-")</f>
        <v>Disk</v>
      </c>
      <c r="N20" s="7">
        <f>IFERROR(PRODUCT($F$4,1/Tabel423723[[#This Row],[Tijd]]),0)</f>
        <v>0</v>
      </c>
      <c r="O20">
        <f>SUM(Tabel423723[[#This Row],[W]],Tabel423723[[#This Row],[A]],Tabel423723[[#This Row],[F]])*5</f>
        <v>0</v>
      </c>
      <c r="P20" t="str">
        <f>TEXT(Tabel423723[[#This Row],[Score]],"00,00")&amp;TEXT(Tabel423723[[#This Row],[Fouten]],"00")&amp;TEXT(Tabel423723[[#This Row],[Tijd]],"00,000")</f>
        <v>Disk0000,000</v>
      </c>
      <c r="Q20" t="str">
        <f>IF(IFERROR(VLOOKUP(Tabel423723[[#This Row],[SN]],Deelnemers[#All],7,0),0)&lt;&gt;$C$4,"Loopt niet in deze klasse!",IF(COUNTIF(Tabel423723[SN],Tabel423723[[#This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ate" operator="greaterThan" allowBlank="1" showInputMessage="1" showErrorMessage="1" sqref="C3:D3" xr:uid="{402AE1E7-7E27-465F-B314-31D785598216}">
      <formula1>41609</formula1>
    </dataValidation>
    <dataValidation type="list" allowBlank="1" showInputMessage="1" showErrorMessage="1" sqref="E5 C5" xr:uid="{85C9972F-8356-4B9B-8CB6-58E3F866CCFB}">
      <formula1>OnderdelenLijst</formula1>
    </dataValidation>
    <dataValidation type="list" allowBlank="1" showInputMessage="1" showErrorMessage="1" sqref="C4" xr:uid="{A59F3459-9D50-47E0-AFB0-7EBC48D99195}">
      <formula1>KlasseLijst</formula1>
    </dataValidation>
    <dataValidation type="decimal" operator="greaterThan" allowBlank="1" showInputMessage="1" showErrorMessage="1" sqref="F2:F4" xr:uid="{A8DD73DF-5080-4B99-85A9-78880CEBC9BB}">
      <formula1>0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0929-CAD0-46B8-BC45-B309C32D336D}">
  <sheetPr>
    <pageSetUpPr fitToPage="1"/>
  </sheetPr>
  <dimension ref="A1:S12"/>
  <sheetViews>
    <sheetView workbookViewId="0">
      <selection activeCell="H13" sqref="H13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97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65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100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70</v>
      </c>
      <c r="D4" s="27"/>
      <c r="E4" s="3" t="s">
        <v>47</v>
      </c>
      <c r="F4" s="4">
        <v>245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16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IFERROR(VLOOKUP(Tabel4237235[[#This Row],[SN]],Deelnemers[#All],2,0),"")</f>
        <v>2021028</v>
      </c>
      <c r="B8" s="6">
        <f>IF(Tabel4237235[[#This Row],[Score]]="Disk",0,IF(VLOOKUP(Tabel4237235[[#This Row],[SN]],Deelnemers[#All],8,0)&gt;0,"BM",MATCH(Tabel4237235[[#This Row],[Sorteren]],Tabel4237235[Sorteren],0)-COUNTIF($B$7:$B7,"BM")))</f>
        <v>1</v>
      </c>
      <c r="D8" t="str">
        <f>IFERROR(VLOOKUP(Tabel4237235[[#This Row],[SN]],Deelnemers[#All],3,0),"")</f>
        <v>Mariska Elteren van</v>
      </c>
      <c r="E8" t="str">
        <f>IFERROR(VLOOKUP(Tabel4237235[[#This Row],[SN]],Deelnemers[#All],4,0),"")</f>
        <v>Mayka</v>
      </c>
      <c r="F8" s="2" t="str">
        <f>IFERROR(VLOOKUP(Tabel4237235[[#This Row],[SN]],Deelnemers[#All],6,0),0)</f>
        <v>S</v>
      </c>
      <c r="G8" s="4">
        <v>102</v>
      </c>
      <c r="H8" s="12">
        <v>50.8</v>
      </c>
      <c r="I8" s="10"/>
      <c r="J8" s="10"/>
      <c r="K8" s="10"/>
      <c r="L8" s="11"/>
      <c r="M8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0</v>
      </c>
      <c r="N8" s="7">
        <f>IFERROR(PRODUCT($F$4,1/Tabel4237235[[#This Row],[Tijd]]),0)</f>
        <v>4.8228346456692917</v>
      </c>
      <c r="O8">
        <f>SUM(Tabel4237235[[#This Row],[W]],Tabel4237235[[#This Row],[A]],Tabel4237235[[#This Row],[F]])*5</f>
        <v>0</v>
      </c>
      <c r="P8" t="str">
        <f>TEXT(Tabel4237235[[#This Row],[Score]],"00,00")&amp;TEXT(Tabel4237235[[#This Row],[Fouten]],"00")&amp;TEXT(Tabel4237235[[#This Row],[Tijd]],"00,000")</f>
        <v>00,000050,800</v>
      </c>
      <c r="Q8" t="str">
        <f>IF(IFERROR(VLOOKUP(Tabel4237235[[#This Row],[SN]],Deelnemers[#All],7,0),0)&lt;&gt;$C$4,"Loopt niet in deze klasse!",IF(COUNTIF(Tabel4237235[SN],Tabel4237235[[#This Row],[SN]])&gt;1,"Dubbel",""))</f>
        <v/>
      </c>
      <c r="S8" t="s">
        <v>9</v>
      </c>
    </row>
    <row r="9" spans="1:19" x14ac:dyDescent="0.3">
      <c r="A9">
        <f>IFERROR(VLOOKUP(Tabel4237235[[#This Row],[SN]],Deelnemers[#All],2,0),"")</f>
        <v>2017017</v>
      </c>
      <c r="B9" s="6">
        <f>IF(Tabel4237235[[#This Row],[Score]]="Disk",0,IF(VLOOKUP(Tabel4237235[[#This Row],[SN]],Deelnemers[#All],8,0)&gt;0,"BM",MATCH(Tabel4237235[[#This Row],[Sorteren]],Tabel4237235[Sorteren],0)-COUNTIF($B$7:$B8,"BM")))</f>
        <v>2</v>
      </c>
      <c r="D9" t="str">
        <f>IFERROR(VLOOKUP(Tabel4237235[[#This Row],[SN]],Deelnemers[#All],3,0),"")</f>
        <v>Vanessa Schleuter</v>
      </c>
      <c r="E9" t="str">
        <f>IFERROR(VLOOKUP(Tabel4237235[[#This Row],[SN]],Deelnemers[#All],4,0),"")</f>
        <v>Maxi</v>
      </c>
      <c r="F9" s="2" t="str">
        <f>IFERROR(VLOOKUP(Tabel4237235[[#This Row],[SN]],Deelnemers[#All],6,0),0)</f>
        <v>S</v>
      </c>
      <c r="G9" s="4">
        <v>101</v>
      </c>
      <c r="H9" s="12">
        <v>51</v>
      </c>
      <c r="I9" s="10"/>
      <c r="J9" s="10"/>
      <c r="K9" s="10"/>
      <c r="L9" s="11"/>
      <c r="M9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0</v>
      </c>
      <c r="N9" s="7">
        <f>IFERROR(PRODUCT($F$4,1/Tabel4237235[[#This Row],[Tijd]]),0)</f>
        <v>4.8039215686274508</v>
      </c>
      <c r="O9">
        <f>SUM(Tabel4237235[[#This Row],[W]],Tabel4237235[[#This Row],[A]],Tabel4237235[[#This Row],[F]])*5</f>
        <v>0</v>
      </c>
      <c r="P9" t="str">
        <f>TEXT(Tabel4237235[[#This Row],[Score]],"00,00")&amp;TEXT(Tabel4237235[[#This Row],[Fouten]],"00")&amp;TEXT(Tabel4237235[[#This Row],[Tijd]],"00,000")</f>
        <v>00,000051,000</v>
      </c>
      <c r="Q9" t="str">
        <f>IF(IFERROR(VLOOKUP(Tabel4237235[[#This Row],[SN]],Deelnemers[#All],7,0),0)&lt;&gt;$C$4,"Loopt niet in deze klasse!",IF(COUNTIF(Tabel4237235[SN],Tabel4237235[[#This Row],[SN]])&gt;1,"Dubbel",""))</f>
        <v/>
      </c>
      <c r="S9" s="8" t="s">
        <v>12</v>
      </c>
    </row>
    <row r="10" spans="1:19" x14ac:dyDescent="0.3">
      <c r="A10">
        <f>IFERROR(VLOOKUP(Tabel4237235[[#This Row],[SN]],Deelnemers[#All],2,0),"")</f>
        <v>2017019</v>
      </c>
      <c r="B10" s="6">
        <f>IF(Tabel4237235[[#This Row],[Score]]="Disk",0,IF(VLOOKUP(Tabel4237235[[#This Row],[SN]],Deelnemers[#All],8,0)&gt;0,"BM",MATCH(Tabel4237235[[#This Row],[Sorteren]],Tabel4237235[Sorteren],0)-COUNTIF($B$7:$B9,"BM")))</f>
        <v>3</v>
      </c>
      <c r="D10" t="str">
        <f>IFERROR(VLOOKUP(Tabel4237235[[#This Row],[SN]],Deelnemers[#All],3,0),"")</f>
        <v>Birgit Lehmann</v>
      </c>
      <c r="E10" t="str">
        <f>IFERROR(VLOOKUP(Tabel4237235[[#This Row],[SN]],Deelnemers[#All],4,0),"")</f>
        <v>Deelayla</v>
      </c>
      <c r="F10" s="2" t="str">
        <f>IFERROR(VLOOKUP(Tabel4237235[[#This Row],[SN]],Deelnemers[#All],6,0),0)</f>
        <v>M</v>
      </c>
      <c r="G10" s="4">
        <v>103</v>
      </c>
      <c r="H10" s="12">
        <v>52.28</v>
      </c>
      <c r="I10" s="10"/>
      <c r="J10" s="10"/>
      <c r="K10" s="10"/>
      <c r="L10" s="11"/>
      <c r="M10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0</v>
      </c>
      <c r="N10" s="7">
        <f>IFERROR(PRODUCT($F$4,1/Tabel4237235[[#This Row],[Tijd]]),0)</f>
        <v>4.6863045141545516</v>
      </c>
      <c r="O10">
        <f>SUM(Tabel4237235[[#This Row],[W]],Tabel4237235[[#This Row],[A]],Tabel4237235[[#This Row],[F]])*5</f>
        <v>0</v>
      </c>
      <c r="P10" t="str">
        <f>TEXT(Tabel4237235[[#This Row],[Score]],"00,00")&amp;TEXT(Tabel4237235[[#This Row],[Fouten]],"00")&amp;TEXT(Tabel4237235[[#This Row],[Tijd]],"00,000")</f>
        <v>00,000052,280</v>
      </c>
      <c r="Q10" t="str">
        <f>IF(IFERROR(VLOOKUP(Tabel4237235[[#This Row],[SN]],Deelnemers[#All],7,0),0)&lt;&gt;$C$4,"Loopt niet in deze klasse!",IF(COUNTIF(Tabel4237235[SN],Tabel4237235[[#This Row],[SN]])&gt;1,"Dubbel",""))</f>
        <v/>
      </c>
    </row>
    <row r="11" spans="1:19" x14ac:dyDescent="0.3">
      <c r="A11">
        <f>IFERROR(VLOOKUP(Tabel4237235[[#This Row],[SN]],Deelnemers[#All],2,0),"")</f>
        <v>2014001</v>
      </c>
      <c r="B11" s="6">
        <f>IF(Tabel4237235[[#This Row],[Score]]="Disk",0,IF(VLOOKUP(Tabel4237235[[#This Row],[SN]],Deelnemers[#All],8,0)&gt;0,"BM",MATCH(Tabel4237235[[#This Row],[Sorteren]],Tabel4237235[Sorteren],0)-COUNTIF($B$7:$B10,"BM")))</f>
        <v>4</v>
      </c>
      <c r="D11" t="str">
        <f>IFERROR(VLOOKUP(Tabel4237235[[#This Row],[SN]],Deelnemers[#All],3,0),"")</f>
        <v>Thomas Jansen</v>
      </c>
      <c r="E11" t="str">
        <f>IFERROR(VLOOKUP(Tabel4237235[[#This Row],[SN]],Deelnemers[#All],4,0),"")</f>
        <v>Aika</v>
      </c>
      <c r="F11" s="2" t="str">
        <f>IFERROR(VLOOKUP(Tabel4237235[[#This Row],[SN]],Deelnemers[#All],6,0),0)</f>
        <v>L</v>
      </c>
      <c r="G11" s="4">
        <v>105</v>
      </c>
      <c r="H11" s="12">
        <v>51.19</v>
      </c>
      <c r="I11" s="10"/>
      <c r="J11" s="10"/>
      <c r="K11" s="10">
        <v>1</v>
      </c>
      <c r="L11" s="11"/>
      <c r="M11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5</v>
      </c>
      <c r="N11" s="7">
        <f>IFERROR(PRODUCT($F$4,1/Tabel4237235[[#This Row],[Tijd]]),0)</f>
        <v>4.7860910334049622</v>
      </c>
      <c r="O11">
        <f>SUM(Tabel4237235[[#This Row],[W]],Tabel4237235[[#This Row],[A]],Tabel4237235[[#This Row],[F]])*5</f>
        <v>5</v>
      </c>
      <c r="P11" t="str">
        <f>TEXT(Tabel4237235[[#This Row],[Score]],"00,00")&amp;TEXT(Tabel4237235[[#This Row],[Fouten]],"00")&amp;TEXT(Tabel4237235[[#This Row],[Tijd]],"00,000")</f>
        <v>05,000551,190</v>
      </c>
      <c r="Q11" t="str">
        <f>IF(IFERROR(VLOOKUP(Tabel4237235[[#This Row],[SN]],Deelnemers[#All],7,0),0)&lt;&gt;$C$4,"Loopt niet in deze klasse!",IF(COUNTIF(Tabel4237235[SN],Tabel4237235[[#This Row],[SN]])&gt;1,"Dubbel",""))</f>
        <v/>
      </c>
    </row>
    <row r="12" spans="1:19" x14ac:dyDescent="0.3">
      <c r="A12">
        <f>IFERROR(VLOOKUP(Tabel4237235[[#This Row],[SN]],Deelnemers[#All],2,0),"")</f>
        <v>2017036</v>
      </c>
      <c r="B12" s="6">
        <f>IF(Tabel4237235[[#This Row],[Score]]="Disk",0,IF(VLOOKUP(Tabel4237235[[#This Row],[SN]],Deelnemers[#All],8,0)&gt;0,"BM",MATCH(Tabel4237235[[#This Row],[Sorteren]],Tabel4237235[Sorteren],0)-COUNTIF($B$7:$B11,"BM")))</f>
        <v>0</v>
      </c>
      <c r="D12" t="str">
        <f>IFERROR(VLOOKUP(Tabel4237235[[#This Row],[SN]],Deelnemers[#All],3,0),"")</f>
        <v>Ellie Cramers</v>
      </c>
      <c r="E12" t="str">
        <f>IFERROR(VLOOKUP(Tabel4237235[[#This Row],[SN]],Deelnemers[#All],4,0),"")</f>
        <v>Rose</v>
      </c>
      <c r="F12" s="2" t="str">
        <f>IFERROR(VLOOKUP(Tabel4237235[[#This Row],[SN]],Deelnemers[#All],6,0),0)</f>
        <v>In</v>
      </c>
      <c r="G12" s="4">
        <v>104</v>
      </c>
      <c r="H12" s="12"/>
      <c r="I12" s="10"/>
      <c r="J12" s="10"/>
      <c r="K12" s="10"/>
      <c r="L12" s="11">
        <v>1</v>
      </c>
      <c r="M12" t="str">
        <f>IF(OR($C$5="Jumping",$C$5="Vast Parcours",$C$5="Vast Parcours Spel",$C$5="Jumping Spel"),IF(OR(Tabel4237235[[#This Row],[Disk]]&gt;0,Tabel4237235[[#This Row],[W]]&gt;=3,Tabel4237235[[#This Row],[Tijd]]&gt;$F$3),"Disk",IF(ISBLANK(Tabel4237235[[#This Row],[Tijd]]),"",Tabel4237235[[#This Row],[Fouten]]+MAX(0,Tabel4237235[[#This Row],[Tijd]]-$F$2))),"-")</f>
        <v>Disk</v>
      </c>
      <c r="N12" s="7">
        <f>IFERROR(PRODUCT($F$4,1/Tabel4237235[[#This Row],[Tijd]]),0)</f>
        <v>0</v>
      </c>
      <c r="O12">
        <f>SUM(Tabel4237235[[#This Row],[W]],Tabel4237235[[#This Row],[A]],Tabel4237235[[#This Row],[F]])*5</f>
        <v>0</v>
      </c>
      <c r="P12" t="str">
        <f>TEXT(Tabel4237235[[#This Row],[Score]],"00,00")&amp;TEXT(Tabel4237235[[#This Row],[Fouten]],"00")&amp;TEXT(Tabel4237235[[#This Row],[Tijd]],"00,000")</f>
        <v>Disk0000,000</v>
      </c>
      <c r="Q12" t="str">
        <f>IF(IFERROR(VLOOKUP(Tabel4237235[[#This Row],[SN]],Deelnemers[#All],7,0),0)&lt;&gt;$C$4,"Loopt niet in deze klasse!",IF(COUNTIF(Tabel4237235[SN],Tabel4237235[[#This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ecimal" operator="greaterThan" allowBlank="1" showInputMessage="1" showErrorMessage="1" sqref="F2:F4" xr:uid="{82F0CB96-445E-459A-A7ED-DA4FD5E7FF0B}">
      <formula1>0</formula1>
    </dataValidation>
    <dataValidation type="list" allowBlank="1" showInputMessage="1" showErrorMessage="1" sqref="C4" xr:uid="{4EE46175-D001-4D9A-9A75-1299B07BFA1E}">
      <formula1>KlasseLijst</formula1>
    </dataValidation>
    <dataValidation type="list" allowBlank="1" showInputMessage="1" showErrorMessage="1" sqref="E5 C5" xr:uid="{6E39743A-BBBE-43A4-AFD8-A1EEE353E583}">
      <formula1>OnderdelenLijst</formula1>
    </dataValidation>
    <dataValidation type="date" operator="greaterThan" allowBlank="1" showInputMessage="1" showErrorMessage="1" sqref="C3:D3" xr:uid="{0FC42BB0-477F-4138-B0A9-AEDEFB3AAC72}">
      <formula1>41609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E0D3-4CD4-4F9B-B96E-451D92536DF1}">
  <sheetPr>
    <pageSetUpPr fitToPage="1"/>
  </sheetPr>
  <dimension ref="A1:S12"/>
  <sheetViews>
    <sheetView workbookViewId="0">
      <selection activeCell="K13" sqref="K13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97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60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90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68</v>
      </c>
      <c r="D4" s="27"/>
      <c r="E4" s="3" t="s">
        <v>47</v>
      </c>
      <c r="F4" s="4">
        <v>245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16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IFERROR(VLOOKUP(Tabel42372356[[#This Row],[SN]],Deelnemers[#All],2,0),"")</f>
        <v>2019011</v>
      </c>
      <c r="B8" s="6">
        <f>IF(Tabel42372356[[#This Row],[Score]]="Disk",0,IF(VLOOKUP(Tabel42372356[[#This Row],[SN]],Deelnemers[#All],8,0)&gt;0,"BM",MATCH(Tabel42372356[[#This Row],[Sorteren]],Tabel42372356[Sorteren],0)-COUNTIF($B$7:$B7,"BM")))</f>
        <v>1</v>
      </c>
      <c r="D8" t="str">
        <f>IFERROR(VLOOKUP(Tabel42372356[[#This Row],[SN]],Deelnemers[#All],3,0),"")</f>
        <v>Vanessa Schleuter</v>
      </c>
      <c r="E8" t="str">
        <f>IFERROR(VLOOKUP(Tabel42372356[[#This Row],[SN]],Deelnemers[#All],4,0),"")</f>
        <v>Lilly</v>
      </c>
      <c r="F8" s="2" t="str">
        <f>IFERROR(VLOOKUP(Tabel42372356[[#This Row],[SN]],Deelnemers[#All],6,0),0)</f>
        <v>S</v>
      </c>
      <c r="G8" s="4">
        <v>113</v>
      </c>
      <c r="H8" s="12">
        <v>53.72</v>
      </c>
      <c r="I8" s="10">
        <v>1</v>
      </c>
      <c r="J8" s="10"/>
      <c r="K8" s="10"/>
      <c r="L8" s="11"/>
      <c r="M8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5</v>
      </c>
      <c r="N8" s="7">
        <f>IFERROR(PRODUCT($F$4,1/Tabel42372356[[#This Row],[Tijd]]),0)</f>
        <v>4.5606850335070739</v>
      </c>
      <c r="O8">
        <f>SUM(Tabel42372356[[#This Row],[W]],Tabel42372356[[#This Row],[A]],Tabel42372356[[#This Row],[F]])*5</f>
        <v>5</v>
      </c>
      <c r="P8" t="str">
        <f>TEXT(Tabel42372356[[#This Row],[Score]],"00,00")&amp;TEXT(Tabel42372356[[#This Row],[Fouten]],"00")&amp;TEXT(Tabel42372356[[#This Row],[Tijd]],"00,000")</f>
        <v>05,000553,720</v>
      </c>
      <c r="Q8" t="str">
        <f>IF(IFERROR(VLOOKUP(Tabel42372356[[#This Row],[SN]],Deelnemers[#All],7,0),0)&lt;&gt;$C$4,"Loopt niet in deze klasse!",IF(COUNTIF(Tabel42372356[SN],Tabel42372356[[#This Row],[SN]])&gt;1,"Dubbel",""))</f>
        <v/>
      </c>
      <c r="S8" t="s">
        <v>9</v>
      </c>
    </row>
    <row r="9" spans="1:19" x14ac:dyDescent="0.3">
      <c r="A9">
        <f>IFERROR(VLOOKUP(Tabel42372356[[#This Row],[SN]],Deelnemers[#All],2,0),"")</f>
        <v>2017012</v>
      </c>
      <c r="B9" s="6">
        <f>IF(Tabel42372356[[#This Row],[Score]]="Disk",0,IF(VLOOKUP(Tabel42372356[[#This Row],[SN]],Deelnemers[#All],8,0)&gt;0,"BM",MATCH(Tabel42372356[[#This Row],[Sorteren]],Tabel42372356[Sorteren],0)-COUNTIF($B$7:$B8,"BM")))</f>
        <v>2</v>
      </c>
      <c r="D9" t="str">
        <f>IFERROR(VLOOKUP(Tabel42372356[[#This Row],[SN]],Deelnemers[#All],3,0),"")</f>
        <v>Gaby Kerkhoffs</v>
      </c>
      <c r="E9" t="str">
        <f>IFERROR(VLOOKUP(Tabel42372356[[#This Row],[SN]],Deelnemers[#All],4,0),"")</f>
        <v>Toby</v>
      </c>
      <c r="F9" s="2" t="str">
        <f>IFERROR(VLOOKUP(Tabel42372356[[#This Row],[SN]],Deelnemers[#All],6,0),0)</f>
        <v>M</v>
      </c>
      <c r="G9" s="4">
        <v>116</v>
      </c>
      <c r="H9" s="12">
        <v>63.44</v>
      </c>
      <c r="I9" s="10"/>
      <c r="J9" s="10"/>
      <c r="K9" s="10">
        <v>2</v>
      </c>
      <c r="L9" s="11"/>
      <c r="M9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13.439999999999998</v>
      </c>
      <c r="N9" s="7">
        <f>IFERROR(PRODUCT($F$4,1/Tabel42372356[[#This Row],[Tijd]]),0)</f>
        <v>3.8619167717528375</v>
      </c>
      <c r="O9">
        <f>SUM(Tabel42372356[[#This Row],[W]],Tabel42372356[[#This Row],[A]],Tabel42372356[[#This Row],[F]])*5</f>
        <v>10</v>
      </c>
      <c r="P9" t="str">
        <f>TEXT(Tabel42372356[[#This Row],[Score]],"00,00")&amp;TEXT(Tabel42372356[[#This Row],[Fouten]],"00")&amp;TEXT(Tabel42372356[[#This Row],[Tijd]],"00,000")</f>
        <v>13,441063,440</v>
      </c>
      <c r="Q9" t="str">
        <f>IF(IFERROR(VLOOKUP(Tabel42372356[[#This Row],[SN]],Deelnemers[#All],7,0),0)&lt;&gt;$C$4,"Loopt niet in deze klasse!",IF(COUNTIF(Tabel42372356[SN],Tabel42372356[[#This Row],[SN]])&gt;1,"Dubbel",""))</f>
        <v/>
      </c>
    </row>
    <row r="10" spans="1:19" x14ac:dyDescent="0.3">
      <c r="A10">
        <f>IFERROR(VLOOKUP(Tabel42372356[[#This Row],[SN]],Deelnemers[#All],2,0),"")</f>
        <v>2020042</v>
      </c>
      <c r="B10" s="6">
        <f>IF(Tabel42372356[[#This Row],[Score]]="Disk",0,IF(VLOOKUP(Tabel42372356[[#This Row],[SN]],Deelnemers[#All],8,0)&gt;0,"BM",MATCH(Tabel42372356[[#This Row],[Sorteren]],Tabel42372356[Sorteren],0)-COUNTIF($B$7:$B9,"BM")))</f>
        <v>0</v>
      </c>
      <c r="D10" t="str">
        <f>IFERROR(VLOOKUP(Tabel42372356[[#This Row],[SN]],Deelnemers[#All],3,0),"")</f>
        <v>Nicole Kündgen-Redding</v>
      </c>
      <c r="E10" t="str">
        <f>IFERROR(VLOOKUP(Tabel42372356[[#This Row],[SN]],Deelnemers[#All],4,0),"")</f>
        <v>Maro</v>
      </c>
      <c r="F10" s="2" t="str">
        <f>IFERROR(VLOOKUP(Tabel42372356[[#This Row],[SN]],Deelnemers[#All],6,0),0)</f>
        <v>S</v>
      </c>
      <c r="G10" s="4">
        <v>110</v>
      </c>
      <c r="H10" s="12"/>
      <c r="I10" s="10"/>
      <c r="J10" s="10"/>
      <c r="K10" s="10"/>
      <c r="L10" s="11">
        <v>1</v>
      </c>
      <c r="M10" t="str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Disk</v>
      </c>
      <c r="N10" s="7">
        <f>IFERROR(PRODUCT($F$4,1/Tabel42372356[[#This Row],[Tijd]]),0)</f>
        <v>0</v>
      </c>
      <c r="O10">
        <f>SUM(Tabel42372356[[#This Row],[W]],Tabel42372356[[#This Row],[A]],Tabel42372356[[#This Row],[F]])*5</f>
        <v>0</v>
      </c>
      <c r="P10" t="str">
        <f>TEXT(Tabel42372356[[#This Row],[Score]],"00,00")&amp;TEXT(Tabel42372356[[#This Row],[Fouten]],"00")&amp;TEXT(Tabel42372356[[#This Row],[Tijd]],"00,000")</f>
        <v>Disk0000,000</v>
      </c>
      <c r="Q10" t="str">
        <f>IF(IFERROR(VLOOKUP(Tabel42372356[[#This Row],[SN]],Deelnemers[#All],7,0),0)&lt;&gt;$C$4,"Loopt niet in deze klasse!",IF(COUNTIF(Tabel42372356[SN],Tabel42372356[[#This Row],[SN]])&gt;1,"Dubbel",""))</f>
        <v/>
      </c>
    </row>
    <row r="11" spans="1:19" x14ac:dyDescent="0.3">
      <c r="A11">
        <f>IFERROR(VLOOKUP(Tabel42372356[[#This Row],[SN]],Deelnemers[#All],2,0),"")</f>
        <v>2019004</v>
      </c>
      <c r="B11" s="6">
        <f>IF(Tabel42372356[[#This Row],[Score]]="Disk",0,IF(VLOOKUP(Tabel42372356[[#This Row],[SN]],Deelnemers[#All],8,0)&gt;0,"BM",MATCH(Tabel42372356[[#This Row],[Sorteren]],Tabel42372356[Sorteren],0)-COUNTIF($B$7:$B10,"BM")))</f>
        <v>0</v>
      </c>
      <c r="D11" t="str">
        <f>IFERROR(VLOOKUP(Tabel42372356[[#This Row],[SN]],Deelnemers[#All],3,0),"")</f>
        <v>Gaby Kerkhoffs</v>
      </c>
      <c r="E11" t="str">
        <f>IFERROR(VLOOKUP(Tabel42372356[[#This Row],[SN]],Deelnemers[#All],4,0),"")</f>
        <v>Bowy</v>
      </c>
      <c r="F11" s="2" t="str">
        <f>IFERROR(VLOOKUP(Tabel42372356[[#This Row],[SN]],Deelnemers[#All],6,0),0)</f>
        <v>S</v>
      </c>
      <c r="G11" s="4">
        <v>112</v>
      </c>
      <c r="H11" s="12"/>
      <c r="I11" s="10"/>
      <c r="J11" s="10"/>
      <c r="K11" s="10"/>
      <c r="L11" s="11">
        <v>1</v>
      </c>
      <c r="M11" t="str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Disk</v>
      </c>
      <c r="N11" s="7">
        <f>IFERROR(PRODUCT($F$4,1/Tabel42372356[[#This Row],[Tijd]]),0)</f>
        <v>0</v>
      </c>
      <c r="O11">
        <f>SUM(Tabel42372356[[#This Row],[W]],Tabel42372356[[#This Row],[A]],Tabel42372356[[#This Row],[F]])*5</f>
        <v>0</v>
      </c>
      <c r="P11" t="str">
        <f>TEXT(Tabel42372356[[#This Row],[Score]],"00,00")&amp;TEXT(Tabel42372356[[#This Row],[Fouten]],"00")&amp;TEXT(Tabel42372356[[#This Row],[Tijd]],"00,000")</f>
        <v>Disk0000,000</v>
      </c>
      <c r="Q11" t="str">
        <f>IF(IFERROR(VLOOKUP(Tabel42372356[[#This Row],[SN]],Deelnemers[#All],7,0),0)&lt;&gt;$C$4,"Loopt niet in deze klasse!",IF(COUNTIF(Tabel42372356[SN],Tabel42372356[[#This Row],[SN]])&gt;1,"Dubbel",""))</f>
        <v/>
      </c>
    </row>
    <row r="12" spans="1:19" x14ac:dyDescent="0.3">
      <c r="A12">
        <f>IFERROR(VLOOKUP(Tabel42372356[[#This Row],[SN]],Deelnemers[#All],2,0),"")</f>
        <v>2022034</v>
      </c>
      <c r="B12" s="6">
        <f>IF(Tabel42372356[[#This Row],[Score]]="Disk",0,IF(VLOOKUP(Tabel42372356[[#This Row],[SN]],Deelnemers[#All],8,0)&gt;0,"BM",MATCH(Tabel42372356[[#This Row],[Sorteren]],Tabel42372356[Sorteren],0)-COUNTIF($B$7:$B11,"BM")))</f>
        <v>0</v>
      </c>
      <c r="D12" t="str">
        <f>IFERROR(VLOOKUP(Tabel42372356[[#This Row],[SN]],Deelnemers[#All],3,0),"")</f>
        <v>Birgit Lehmann</v>
      </c>
      <c r="E12" t="str">
        <f>IFERROR(VLOOKUP(Tabel42372356[[#This Row],[SN]],Deelnemers[#All],4,0),"")</f>
        <v>Flash de Buurman</v>
      </c>
      <c r="F12" s="2" t="str">
        <f>IFERROR(VLOOKUP(Tabel42372356[[#This Row],[SN]],Deelnemers[#All],6,0),0)</f>
        <v>S</v>
      </c>
      <c r="G12" s="4">
        <v>115</v>
      </c>
      <c r="H12" s="12"/>
      <c r="I12" s="10"/>
      <c r="J12" s="10"/>
      <c r="K12" s="10"/>
      <c r="L12" s="11">
        <v>1</v>
      </c>
      <c r="M12" t="str">
        <f>IF(OR($C$5="Jumping",$C$5="Vast Parcours",$C$5="Vast Parcours Spel",$C$5="Jumping Spel"),IF(OR(Tabel42372356[[#This Row],[Disk]]&gt;0,Tabel42372356[[#This Row],[W]]&gt;=3,Tabel42372356[[#This Row],[Tijd]]&gt;$F$3),"Disk",IF(ISBLANK(Tabel42372356[[#This Row],[Tijd]]),"",Tabel42372356[[#This Row],[Fouten]]+MAX(0,Tabel42372356[[#This Row],[Tijd]]-$F$2))),"-")</f>
        <v>Disk</v>
      </c>
      <c r="N12" s="7">
        <f>IFERROR(PRODUCT($F$4,1/Tabel42372356[[#This Row],[Tijd]]),0)</f>
        <v>0</v>
      </c>
      <c r="O12">
        <f>SUM(Tabel42372356[[#This Row],[W]],Tabel42372356[[#This Row],[A]],Tabel42372356[[#This Row],[F]])*5</f>
        <v>0</v>
      </c>
      <c r="P12" t="str">
        <f>TEXT(Tabel42372356[[#This Row],[Score]],"00,00")&amp;TEXT(Tabel42372356[[#This Row],[Fouten]],"00")&amp;TEXT(Tabel42372356[[#This Row],[Tijd]],"00,000")</f>
        <v>Disk0000,000</v>
      </c>
      <c r="Q12" t="str">
        <f>IF(IFERROR(VLOOKUP(Tabel42372356[[#This Row],[SN]],Deelnemers[#All],7,0),0)&lt;&gt;$C$4,"Loopt niet in deze klasse!",IF(COUNTIF(Tabel42372356[SN],Tabel42372356[[#This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ate" operator="greaterThan" allowBlank="1" showInputMessage="1" showErrorMessage="1" sqref="C3:D3" xr:uid="{18CB7ADE-0829-4A8B-87E4-DE91C52A50C6}">
      <formula1>41609</formula1>
    </dataValidation>
    <dataValidation type="list" allowBlank="1" showInputMessage="1" showErrorMessage="1" sqref="E5 C5" xr:uid="{A2E4C76F-6193-451B-BA69-B93B6E609DF1}">
      <formula1>OnderdelenLijst</formula1>
    </dataValidation>
    <dataValidation type="list" allowBlank="1" showInputMessage="1" showErrorMessage="1" sqref="C4" xr:uid="{B0758A82-0038-41F4-915A-72D85C37DC74}">
      <formula1>KlasseLijst</formula1>
    </dataValidation>
    <dataValidation type="decimal" operator="greaterThan" allowBlank="1" showInputMessage="1" showErrorMessage="1" sqref="F2:F4" xr:uid="{5F4FFFD4-8D0B-4844-8794-D0C3A4D722DA}">
      <formula1>0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21FF-BA41-4B5A-A83E-1FCDB52FB425}">
  <sheetPr>
    <pageSetUpPr fitToPage="1"/>
  </sheetPr>
  <dimension ref="A1:S18"/>
  <sheetViews>
    <sheetView tabSelected="1" workbookViewId="0">
      <selection activeCell="A15" sqref="A15:XFD15"/>
    </sheetView>
  </sheetViews>
  <sheetFormatPr defaultColWidth="11" defaultRowHeight="15.6" x14ac:dyDescent="0.3"/>
  <cols>
    <col min="1" max="1" width="12.09765625" customWidth="1"/>
    <col min="2" max="2" width="10.09765625" style="6" customWidth="1"/>
    <col min="3" max="3" width="3.5" customWidth="1"/>
    <col min="4" max="4" width="17.09765625" customWidth="1"/>
    <col min="5" max="5" width="11.09765625" bestFit="1" customWidth="1"/>
    <col min="6" max="6" width="16.3984375" style="2" customWidth="1"/>
    <col min="7" max="7" width="7.09765625" style="2" customWidth="1"/>
    <col min="8" max="8" width="6.59765625" style="2" customWidth="1"/>
    <col min="9" max="9" width="4.59765625" style="2" bestFit="1" customWidth="1"/>
    <col min="10" max="10" width="4.09765625" style="2" bestFit="1" customWidth="1"/>
    <col min="11" max="11" width="3.59765625" style="2" bestFit="1" customWidth="1"/>
    <col min="12" max="12" width="6.3984375" bestFit="1" customWidth="1"/>
    <col min="13" max="13" width="7.59765625" bestFit="1" customWidth="1"/>
    <col min="14" max="14" width="6.09765625" style="7" bestFit="1" customWidth="1"/>
    <col min="15" max="15" width="8.8984375" bestFit="1" customWidth="1"/>
    <col min="16" max="16" width="12.8984375" customWidth="1"/>
    <col min="17" max="17" width="17.3984375" customWidth="1"/>
  </cols>
  <sheetData>
    <row r="1" spans="1:19" x14ac:dyDescent="0.3">
      <c r="B1" s="3" t="s">
        <v>38</v>
      </c>
      <c r="C1" s="27" t="s">
        <v>41</v>
      </c>
      <c r="D1" s="27"/>
      <c r="E1" s="3" t="s">
        <v>39</v>
      </c>
      <c r="F1" s="4" t="s">
        <v>97</v>
      </c>
      <c r="K1"/>
    </row>
    <row r="2" spans="1:19" x14ac:dyDescent="0.3">
      <c r="B2" s="3" t="s">
        <v>40</v>
      </c>
      <c r="C2" s="27" t="s">
        <v>67</v>
      </c>
      <c r="D2" s="27"/>
      <c r="E2" s="3" t="s">
        <v>42</v>
      </c>
      <c r="F2" s="4">
        <v>60</v>
      </c>
      <c r="G2" s="2" t="s">
        <v>43</v>
      </c>
      <c r="K2"/>
      <c r="S2" s="1" t="s">
        <v>0</v>
      </c>
    </row>
    <row r="3" spans="1:19" x14ac:dyDescent="0.3">
      <c r="B3" s="3" t="s">
        <v>44</v>
      </c>
      <c r="C3" s="28">
        <v>45396</v>
      </c>
      <c r="D3" s="28"/>
      <c r="E3" s="3" t="s">
        <v>45</v>
      </c>
      <c r="F3" s="4">
        <v>90</v>
      </c>
      <c r="G3" s="2" t="s">
        <v>43</v>
      </c>
      <c r="K3"/>
      <c r="S3" t="s">
        <v>46</v>
      </c>
    </row>
    <row r="4" spans="1:19" x14ac:dyDescent="0.3">
      <c r="B4" s="3" t="s">
        <v>36</v>
      </c>
      <c r="C4" s="27" t="s">
        <v>69</v>
      </c>
      <c r="D4" s="27"/>
      <c r="E4" s="3" t="s">
        <v>47</v>
      </c>
      <c r="F4" s="4">
        <v>245</v>
      </c>
      <c r="G4" s="2" t="s">
        <v>48</v>
      </c>
      <c r="K4"/>
      <c r="S4" t="s">
        <v>3</v>
      </c>
    </row>
    <row r="5" spans="1:19" x14ac:dyDescent="0.3">
      <c r="B5" s="3" t="s">
        <v>49</v>
      </c>
      <c r="C5" s="27" t="s">
        <v>16</v>
      </c>
      <c r="D5" s="27"/>
      <c r="E5" s="2"/>
      <c r="H5"/>
      <c r="K5"/>
      <c r="S5" t="s">
        <v>4</v>
      </c>
    </row>
    <row r="6" spans="1:19" x14ac:dyDescent="0.3">
      <c r="F6"/>
      <c r="G6"/>
      <c r="H6"/>
      <c r="I6"/>
      <c r="J6"/>
      <c r="K6"/>
      <c r="S6" t="s">
        <v>5</v>
      </c>
    </row>
    <row r="7" spans="1:19" x14ac:dyDescent="0.3">
      <c r="A7" t="s">
        <v>31</v>
      </c>
      <c r="B7" s="6" t="s">
        <v>50</v>
      </c>
      <c r="C7" t="s">
        <v>51</v>
      </c>
      <c r="D7" t="s">
        <v>32</v>
      </c>
      <c r="E7" t="s">
        <v>33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M7" t="s">
        <v>59</v>
      </c>
      <c r="N7" s="7" t="s">
        <v>60</v>
      </c>
      <c r="O7" t="s">
        <v>61</v>
      </c>
      <c r="P7" t="s">
        <v>62</v>
      </c>
      <c r="Q7" t="s">
        <v>63</v>
      </c>
    </row>
    <row r="8" spans="1:19" x14ac:dyDescent="0.3">
      <c r="A8">
        <f>IFERROR(VLOOKUP(Tabel423723567[[#This Row],[SN]],Deelnemers[#All],2,0),"")</f>
        <v>2023009</v>
      </c>
      <c r="B8" s="6">
        <f>IF(Tabel423723567[[#This Row],[Score]]="Disk",0,IF(VLOOKUP(Tabel423723567[[#This Row],[SN]],Deelnemers[#All],8,0)&gt;0,"BM",MATCH(Tabel423723567[[#This Row],[Sorteren]],Tabel423723567[Sorteren],0)-COUNTIF($B$7:$B7,"BM")))</f>
        <v>1</v>
      </c>
      <c r="D8" t="str">
        <f>IFERROR(VLOOKUP(Tabel423723567[[#This Row],[SN]],Deelnemers[#All],3,0),"")</f>
        <v>Vanessa Schleuter</v>
      </c>
      <c r="E8" t="str">
        <f>IFERROR(VLOOKUP(Tabel423723567[[#This Row],[SN]],Deelnemers[#All],4,0),"")</f>
        <v>Tiara</v>
      </c>
      <c r="F8" s="2" t="str">
        <f>IFERROR(VLOOKUP(Tabel423723567[[#This Row],[SN]],Deelnemers[#All],6,0),0)</f>
        <v>In</v>
      </c>
      <c r="G8" s="4">
        <v>120</v>
      </c>
      <c r="H8" s="12">
        <v>39.4</v>
      </c>
      <c r="I8" s="10"/>
      <c r="J8" s="10"/>
      <c r="K8" s="10"/>
      <c r="L8" s="11"/>
      <c r="M8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0</v>
      </c>
      <c r="N8" s="7">
        <f>IFERROR(PRODUCT($F$4,1/Tabel423723567[[#This Row],[Tijd]]),0)</f>
        <v>6.218274111675127</v>
      </c>
      <c r="O8">
        <f>SUM(Tabel423723567[[#This Row],[W]],Tabel423723567[[#This Row],[A]],Tabel423723567[[#This Row],[F]])*5</f>
        <v>0</v>
      </c>
      <c r="P8" t="str">
        <f>TEXT(Tabel423723567[[#This Row],[Score]],"00,00")&amp;TEXT(Tabel423723567[[#This Row],[Fouten]],"00")&amp;TEXT(Tabel423723567[[#This Row],[Tijd]],"00,000")</f>
        <v>00,000039,400</v>
      </c>
      <c r="Q8" t="str">
        <f>IF(IFERROR(VLOOKUP(Tabel423723567[[#This Row],[SN]],Deelnemers[#All],7,0),0)&lt;&gt;$C$4,"Loopt niet in deze klasse!",IF(COUNTIF(Tabel423723567[SN],Tabel423723567[[#This Row],[SN]])&gt;1,"Dubbel",""))</f>
        <v/>
      </c>
      <c r="S8" t="s">
        <v>9</v>
      </c>
    </row>
    <row r="9" spans="1:19" x14ac:dyDescent="0.3">
      <c r="A9">
        <f>IFERROR(VLOOKUP(Tabel423723567[[#This Row],[SN]],Deelnemers[#All],2,0),"")</f>
        <v>2021020</v>
      </c>
      <c r="B9" s="6">
        <f>IF(Tabel423723567[[#This Row],[Score]]="Disk",0,IF(VLOOKUP(Tabel423723567[[#This Row],[SN]],Deelnemers[#All],8,0)&gt;0,"BM",MATCH(Tabel423723567[[#This Row],[Sorteren]],Tabel423723567[Sorteren],0)-COUNTIF($B$7:$B8,"BM")))</f>
        <v>2</v>
      </c>
      <c r="D9" t="str">
        <f>IFERROR(VLOOKUP(Tabel423723567[[#This Row],[SN]],Deelnemers[#All],3,0),"")</f>
        <v>Vanessa Schleuter</v>
      </c>
      <c r="E9" t="str">
        <f>IFERROR(VLOOKUP(Tabel423723567[[#This Row],[SN]],Deelnemers[#All],4,0),"")</f>
        <v>Yuna</v>
      </c>
      <c r="F9" s="2" t="str">
        <f>IFERROR(VLOOKUP(Tabel423723567[[#This Row],[SN]],Deelnemers[#All],6,0),0)</f>
        <v>In</v>
      </c>
      <c r="G9" s="4">
        <v>123</v>
      </c>
      <c r="H9" s="12">
        <v>42.08</v>
      </c>
      <c r="I9" s="10"/>
      <c r="J9" s="10"/>
      <c r="K9" s="10"/>
      <c r="L9" s="11"/>
      <c r="M9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0</v>
      </c>
      <c r="N9" s="7">
        <f>IFERROR(PRODUCT($F$4,1/Tabel423723567[[#This Row],[Tijd]]),0)</f>
        <v>5.8222433460076051</v>
      </c>
      <c r="O9">
        <f>SUM(Tabel423723567[[#This Row],[W]],Tabel423723567[[#This Row],[A]],Tabel423723567[[#This Row],[F]])*5</f>
        <v>0</v>
      </c>
      <c r="P9" t="str">
        <f>TEXT(Tabel423723567[[#This Row],[Score]],"00,00")&amp;TEXT(Tabel423723567[[#This Row],[Fouten]],"00")&amp;TEXT(Tabel423723567[[#This Row],[Tijd]],"00,000")</f>
        <v>00,000042,080</v>
      </c>
      <c r="Q9" t="str">
        <f>IF(IFERROR(VLOOKUP(Tabel423723567[[#This Row],[SN]],Deelnemers[#All],7,0),0)&lt;&gt;$C$4,"Loopt niet in deze klasse!",IF(COUNTIF(Tabel423723567[SN],Tabel423723567[[#This Row],[SN]])&gt;1,"Dubbel",""))</f>
        <v/>
      </c>
      <c r="S9" s="8" t="s">
        <v>12</v>
      </c>
    </row>
    <row r="10" spans="1:19" x14ac:dyDescent="0.3">
      <c r="A10">
        <f>IFERROR(VLOOKUP(Tabel423723567[[#This Row],[SN]],Deelnemers[#All],2,0),"")</f>
        <v>2022027</v>
      </c>
      <c r="B10" s="6">
        <f>IF(Tabel423723567[[#This Row],[Score]]="Disk",0,IF(VLOOKUP(Tabel423723567[[#This Row],[SN]],Deelnemers[#All],8,0)&gt;0,"BM",MATCH(Tabel423723567[[#This Row],[Sorteren]],Tabel423723567[Sorteren],0)-COUNTIF($B$7:$B9,"BM")))</f>
        <v>3</v>
      </c>
      <c r="D10" t="str">
        <f>IFERROR(VLOOKUP(Tabel423723567[[#This Row],[SN]],Deelnemers[#All],3,0),"")</f>
        <v>Margie Scipio</v>
      </c>
      <c r="E10" t="str">
        <f>IFERROR(VLOOKUP(Tabel423723567[[#This Row],[SN]],Deelnemers[#All],4,0),"")</f>
        <v>Joya</v>
      </c>
      <c r="F10" s="2" t="str">
        <f>IFERROR(VLOOKUP(Tabel423723567[[#This Row],[SN]],Deelnemers[#All],6,0),0)</f>
        <v>L</v>
      </c>
      <c r="G10" s="4">
        <v>129</v>
      </c>
      <c r="H10" s="12">
        <v>49.21</v>
      </c>
      <c r="I10" s="10"/>
      <c r="J10" s="10"/>
      <c r="K10" s="10"/>
      <c r="L10" s="11"/>
      <c r="M10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0</v>
      </c>
      <c r="N10" s="7">
        <f>IFERROR(PRODUCT($F$4,1/Tabel423723567[[#This Row],[Tijd]]),0)</f>
        <v>4.978662873399716</v>
      </c>
      <c r="O10">
        <f>SUM(Tabel423723567[[#This Row],[W]],Tabel423723567[[#This Row],[A]],Tabel423723567[[#This Row],[F]])*5</f>
        <v>0</v>
      </c>
      <c r="P10" t="str">
        <f>TEXT(Tabel423723567[[#This Row],[Score]],"00,00")&amp;TEXT(Tabel423723567[[#This Row],[Fouten]],"00")&amp;TEXT(Tabel423723567[[#This Row],[Tijd]],"00,000")</f>
        <v>00,000049,210</v>
      </c>
      <c r="Q10" t="str">
        <f>IF(IFERROR(VLOOKUP(Tabel423723567[[#This Row],[SN]],Deelnemers[#All],7,0),0)&lt;&gt;$C$4,"Loopt niet in deze klasse!",IF(COUNTIF(Tabel423723567[SN],Tabel423723567[[#This Row],[SN]])&gt;1,"Dubbel",""))</f>
        <v/>
      </c>
    </row>
    <row r="11" spans="1:19" x14ac:dyDescent="0.3">
      <c r="A11">
        <f>IFERROR(VLOOKUP(Tabel423723567[[#This Row],[SN]],Deelnemers[#All],2,0),"")</f>
        <v>2019007</v>
      </c>
      <c r="B11" s="6">
        <f>IF(Tabel423723567[[#This Row],[Score]]="Disk",0,IF(VLOOKUP(Tabel423723567[[#This Row],[SN]],Deelnemers[#All],8,0)&gt;0,"BM",MATCH(Tabel423723567[[#This Row],[Sorteren]],Tabel423723567[Sorteren],0)-COUNTIF($B$7:$B10,"BM")))</f>
        <v>4</v>
      </c>
      <c r="D11" t="str">
        <f>IFERROR(VLOOKUP(Tabel423723567[[#This Row],[SN]],Deelnemers[#All],3,0),"")</f>
        <v>Ellie Cramers</v>
      </c>
      <c r="E11" t="str">
        <f>IFERROR(VLOOKUP(Tabel423723567[[#This Row],[SN]],Deelnemers[#All],4,0),"")</f>
        <v>Jip</v>
      </c>
      <c r="F11" s="2" t="str">
        <f>IFERROR(VLOOKUP(Tabel423723567[[#This Row],[SN]],Deelnemers[#All],6,0),0)</f>
        <v>L</v>
      </c>
      <c r="G11" s="4">
        <v>125</v>
      </c>
      <c r="H11" s="12">
        <v>54.33</v>
      </c>
      <c r="I11" s="10">
        <v>1</v>
      </c>
      <c r="J11" s="10"/>
      <c r="K11" s="10"/>
      <c r="L11" s="11"/>
      <c r="M11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5</v>
      </c>
      <c r="N11" s="7">
        <f>IFERROR(PRODUCT($F$4,1/Tabel423723567[[#This Row],[Tijd]]),0)</f>
        <v>4.5094791091478008</v>
      </c>
      <c r="O11">
        <f>SUM(Tabel423723567[[#This Row],[W]],Tabel423723567[[#This Row],[A]],Tabel423723567[[#This Row],[F]])*5</f>
        <v>5</v>
      </c>
      <c r="P11" t="str">
        <f>TEXT(Tabel423723567[[#This Row],[Score]],"00,00")&amp;TEXT(Tabel423723567[[#This Row],[Fouten]],"00")&amp;TEXT(Tabel423723567[[#This Row],[Tijd]],"00,000")</f>
        <v>05,000554,330</v>
      </c>
      <c r="Q11" t="str">
        <f>IF(IFERROR(VLOOKUP(Tabel423723567[[#This Row],[SN]],Deelnemers[#All],7,0),0)&lt;&gt;$C$4,"Loopt niet in deze klasse!",IF(COUNTIF(Tabel423723567[SN],Tabel423723567[[#This Row],[SN]])&gt;1,"Dubbel",""))</f>
        <v/>
      </c>
    </row>
    <row r="12" spans="1:19" x14ac:dyDescent="0.3">
      <c r="A12">
        <f>IFERROR(VLOOKUP(Tabel423723567[[#This Row],[SN]],Deelnemers[#All],2,0),"")</f>
        <v>2015078</v>
      </c>
      <c r="B12" s="6">
        <f>IF(Tabel423723567[[#This Row],[Score]]="Disk",0,IF(VLOOKUP(Tabel423723567[[#This Row],[SN]],Deelnemers[#All],8,0)&gt;0,"BM",MATCH(Tabel423723567[[#This Row],[Sorteren]],Tabel423723567[Sorteren],0)-COUNTIF($B$7:$B11,"BM")))</f>
        <v>5</v>
      </c>
      <c r="D12" t="str">
        <f>IFERROR(VLOOKUP(Tabel423723567[[#This Row],[SN]],Deelnemers[#All],3,0),"")</f>
        <v>Jose Verkoeijen</v>
      </c>
      <c r="E12" t="str">
        <f>IFERROR(VLOOKUP(Tabel423723567[[#This Row],[SN]],Deelnemers[#All],4,0),"")</f>
        <v>Kite</v>
      </c>
      <c r="F12" s="2" t="str">
        <f>IFERROR(VLOOKUP(Tabel423723567[[#This Row],[SN]],Deelnemers[#All],6,0),0)</f>
        <v>L</v>
      </c>
      <c r="G12" s="4">
        <v>126</v>
      </c>
      <c r="H12" s="12">
        <v>50.39</v>
      </c>
      <c r="I12" s="10"/>
      <c r="J12" s="10"/>
      <c r="K12" s="10">
        <v>2</v>
      </c>
      <c r="L12" s="11"/>
      <c r="M12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10</v>
      </c>
      <c r="N12" s="7">
        <f>IFERROR(PRODUCT($F$4,1/Tabel423723567[[#This Row],[Tijd]]),0)</f>
        <v>4.8620758086922011</v>
      </c>
      <c r="O12">
        <f>SUM(Tabel423723567[[#This Row],[W]],Tabel423723567[[#This Row],[A]],Tabel423723567[[#This Row],[F]])*5</f>
        <v>10</v>
      </c>
      <c r="P12" t="str">
        <f>TEXT(Tabel423723567[[#This Row],[Score]],"00,00")&amp;TEXT(Tabel423723567[[#This Row],[Fouten]],"00")&amp;TEXT(Tabel423723567[[#This Row],[Tijd]],"00,000")</f>
        <v>10,001050,390</v>
      </c>
      <c r="Q12" t="str">
        <f>IF(IFERROR(VLOOKUP(Tabel423723567[[#This Row],[SN]],Deelnemers[#All],7,0),0)&lt;&gt;$C$4,"Loopt niet in deze klasse!",IF(COUNTIF(Tabel423723567[SN],Tabel423723567[[#This Row],[SN]])&gt;1,"Dubbel",""))</f>
        <v/>
      </c>
    </row>
    <row r="13" spans="1:19" x14ac:dyDescent="0.3">
      <c r="A13">
        <f>IFERROR(VLOOKUP(Tabel423723567[[#This Row],[SN]],Deelnemers[#All],2,0),"")</f>
        <v>2017027</v>
      </c>
      <c r="B13" s="6">
        <f>IF(Tabel423723567[[#This Row],[Score]]="Disk",0,IF(VLOOKUP(Tabel423723567[[#This Row],[SN]],Deelnemers[#All],8,0)&gt;0,"BM",MATCH(Tabel423723567[[#This Row],[Sorteren]],Tabel423723567[Sorteren],0)-COUNTIF($B$7:$B12,"BM")))</f>
        <v>6</v>
      </c>
      <c r="D13" t="str">
        <f>IFERROR(VLOOKUP(Tabel423723567[[#This Row],[SN]],Deelnemers[#All],3,0),"")</f>
        <v>Melina Beshan</v>
      </c>
      <c r="E13" t="str">
        <f>IFERROR(VLOOKUP(Tabel423723567[[#This Row],[SN]],Deelnemers[#All],4,0),"")</f>
        <v>Tess</v>
      </c>
      <c r="F13" s="2" t="str">
        <f>IFERROR(VLOOKUP(Tabel423723567[[#This Row],[SN]],Deelnemers[#All],6,0),0)</f>
        <v>In</v>
      </c>
      <c r="G13" s="4">
        <v>119</v>
      </c>
      <c r="H13" s="12">
        <v>49.43</v>
      </c>
      <c r="I13" s="10">
        <v>1</v>
      </c>
      <c r="J13" s="10"/>
      <c r="K13" s="10">
        <v>2</v>
      </c>
      <c r="L13" s="11"/>
      <c r="M13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15</v>
      </c>
      <c r="N13" s="7">
        <f>IFERROR(PRODUCT($F$4,1/Tabel423723567[[#This Row],[Tijd]]),0)</f>
        <v>4.9565041472789799</v>
      </c>
      <c r="O13">
        <f>SUM(Tabel423723567[[#This Row],[W]],Tabel423723567[[#This Row],[A]],Tabel423723567[[#This Row],[F]])*5</f>
        <v>15</v>
      </c>
      <c r="P13" t="str">
        <f>TEXT(Tabel423723567[[#This Row],[Score]],"00,00")&amp;TEXT(Tabel423723567[[#This Row],[Fouten]],"00")&amp;TEXT(Tabel423723567[[#This Row],[Tijd]],"00,000")</f>
        <v>15,001549,430</v>
      </c>
      <c r="Q13" t="str">
        <f>IF(IFERROR(VLOOKUP(Tabel423723567[[#This Row],[SN]],Deelnemers[#All],7,0),0)&lt;&gt;$C$4,"Loopt niet in deze klasse!",IF(COUNTIF(Tabel423723567[SN],Tabel423723567[[#This Row],[SN]])&gt;1,"Dubbel",""))</f>
        <v/>
      </c>
    </row>
    <row r="14" spans="1:19" x14ac:dyDescent="0.3">
      <c r="A14">
        <f>IFERROR(VLOOKUP(Tabel423723567[[#This Row],[SN]],Deelnemers[#All],2,0),"")</f>
        <v>2023028</v>
      </c>
      <c r="B14" s="6">
        <f>IF(Tabel423723567[[#This Row],[Score]]="Disk",0,IF(VLOOKUP(Tabel423723567[[#This Row],[SN]],Deelnemers[#All],8,0)&gt;0,"BM",MATCH(Tabel423723567[[#This Row],[Sorteren]],Tabel423723567[Sorteren],0)-COUNTIF($B$7:$B13,"BM")))</f>
        <v>0</v>
      </c>
      <c r="D14" t="str">
        <f>IFERROR(VLOOKUP(Tabel423723567[[#This Row],[SN]],Deelnemers[#All],3,0),"")</f>
        <v>Amy Notten</v>
      </c>
      <c r="E14" t="str">
        <f>IFERROR(VLOOKUP(Tabel423723567[[#This Row],[SN]],Deelnemers[#All],4,0),"")</f>
        <v>yolo</v>
      </c>
      <c r="F14" s="2" t="str">
        <f>IFERROR(VLOOKUP(Tabel423723567[[#This Row],[SN]],Deelnemers[#All],6,0),0)</f>
        <v>In</v>
      </c>
      <c r="G14" s="4">
        <v>121</v>
      </c>
      <c r="H14" s="12"/>
      <c r="I14" s="10"/>
      <c r="J14" s="10"/>
      <c r="K14" s="10"/>
      <c r="L14" s="11">
        <v>1</v>
      </c>
      <c r="M14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4" s="7">
        <f>IFERROR(PRODUCT($F$4,1/Tabel423723567[[#This Row],[Tijd]]),0)</f>
        <v>0</v>
      </c>
      <c r="O14">
        <f>SUM(Tabel423723567[[#This Row],[W]],Tabel423723567[[#This Row],[A]],Tabel423723567[[#This Row],[F]])*5</f>
        <v>0</v>
      </c>
      <c r="P14" t="str">
        <f>TEXT(Tabel423723567[[#This Row],[Score]],"00,00")&amp;TEXT(Tabel423723567[[#This Row],[Fouten]],"00")&amp;TEXT(Tabel423723567[[#This Row],[Tijd]],"00,000")</f>
        <v>Disk0000,000</v>
      </c>
      <c r="Q14" t="str">
        <f>IF(IFERROR(VLOOKUP(Tabel423723567[[#This Row],[SN]],Deelnemers[#All],7,0),0)&lt;&gt;$C$4,"Loopt niet in deze klasse!",IF(COUNTIF(Tabel423723567[SN],Tabel423723567[[#This Row],[SN]])&gt;1,"Dubbel",""))</f>
        <v/>
      </c>
    </row>
    <row r="15" spans="1:19" x14ac:dyDescent="0.3">
      <c r="A15">
        <f>IFERROR(VLOOKUP(Tabel423723567[[#This Row],[SN]],Deelnemers[#All],2,0),"")</f>
        <v>2022047</v>
      </c>
      <c r="B15" s="6">
        <f>IF(Tabel423723567[[#This Row],[Score]]="Disk",0,IF(VLOOKUP(Tabel423723567[[#This Row],[SN]],Deelnemers[#All],8,0)&gt;0,"BM",MATCH(Tabel423723567[[#This Row],[Sorteren]],Tabel423723567[Sorteren],0)-COUNTIF($B$7:$B14,"BM")))</f>
        <v>0</v>
      </c>
      <c r="D15" t="str">
        <f>IFERROR(VLOOKUP(Tabel423723567[[#This Row],[SN]],Deelnemers[#All],3,0),"")</f>
        <v>Brigitte Driessen</v>
      </c>
      <c r="E15" t="str">
        <f>IFERROR(VLOOKUP(Tabel423723567[[#This Row],[SN]],Deelnemers[#All],4,0),"")</f>
        <v>Skai</v>
      </c>
      <c r="F15" s="2" t="str">
        <f>IFERROR(VLOOKUP(Tabel423723567[[#This Row],[SN]],Deelnemers[#All],6,0),0)</f>
        <v>In</v>
      </c>
      <c r="G15" s="4">
        <v>122</v>
      </c>
      <c r="H15" s="12"/>
      <c r="I15" s="10"/>
      <c r="J15" s="10"/>
      <c r="K15" s="10"/>
      <c r="L15" s="11">
        <v>1</v>
      </c>
      <c r="M15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5" s="7">
        <f>IFERROR(PRODUCT($F$4,1/Tabel423723567[[#This Row],[Tijd]]),0)</f>
        <v>0</v>
      </c>
      <c r="O15">
        <f>SUM(Tabel423723567[[#This Row],[W]],Tabel423723567[[#This Row],[A]],Tabel423723567[[#This Row],[F]])*5</f>
        <v>0</v>
      </c>
      <c r="P15" t="str">
        <f>TEXT(Tabel423723567[[#This Row],[Score]],"00,00")&amp;TEXT(Tabel423723567[[#This Row],[Fouten]],"00")&amp;TEXT(Tabel423723567[[#This Row],[Tijd]],"00,000")</f>
        <v>Disk0000,000</v>
      </c>
      <c r="Q15" t="str">
        <f>IF(IFERROR(VLOOKUP(Tabel423723567[[#This Row],[SN]],Deelnemers[#All],7,0),0)&lt;&gt;$C$4,"Loopt niet in deze klasse!",IF(COUNTIF(Tabel423723567[SN],Tabel423723567[[#This Row],[SN]])&gt;1,"Dubbel",""))</f>
        <v/>
      </c>
    </row>
    <row r="16" spans="1:19" x14ac:dyDescent="0.3">
      <c r="A16">
        <f>IFERROR(VLOOKUP(Tabel423723567[[#This Row],[SN]],Deelnemers[#All],2,0),"")</f>
        <v>2022059</v>
      </c>
      <c r="B16" s="6">
        <f>IF(Tabel423723567[[#This Row],[Score]]="Disk",0,IF(VLOOKUP(Tabel423723567[[#This Row],[SN]],Deelnemers[#All],8,0)&gt;0,"BM",MATCH(Tabel423723567[[#This Row],[Sorteren]],Tabel423723567[Sorteren],0)-COUNTIF($B$7:$B15,"BM")))</f>
        <v>0</v>
      </c>
      <c r="D16" t="str">
        <f>IFERROR(VLOOKUP(Tabel423723567[[#This Row],[SN]],Deelnemers[#All],3,0),"")</f>
        <v>Roger Lehnen</v>
      </c>
      <c r="E16" t="str">
        <f>IFERROR(VLOOKUP(Tabel423723567[[#This Row],[SN]],Deelnemers[#All],4,0),"")</f>
        <v>Shiva</v>
      </c>
      <c r="F16" s="2" t="str">
        <f>IFERROR(VLOOKUP(Tabel423723567[[#This Row],[SN]],Deelnemers[#All],6,0),0)</f>
        <v>L</v>
      </c>
      <c r="G16" s="4">
        <v>128</v>
      </c>
      <c r="H16" s="12"/>
      <c r="I16" s="10"/>
      <c r="J16" s="10"/>
      <c r="K16" s="10"/>
      <c r="L16" s="11">
        <v>1</v>
      </c>
      <c r="M16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6" s="26">
        <f>IFERROR(PRODUCT($F$4,1/Tabel423723567[[#This Row],[Tijd]]),0)</f>
        <v>0</v>
      </c>
      <c r="O16">
        <f>SUM(Tabel423723567[[#This Row],[W]],Tabel423723567[[#This Row],[A]],Tabel423723567[[#This Row],[F]])*5</f>
        <v>0</v>
      </c>
      <c r="P16" t="str">
        <f>TEXT(Tabel423723567[[#This Row],[Score]],"00,00")&amp;TEXT(Tabel423723567[[#This Row],[Fouten]],"00")&amp;TEXT(Tabel423723567[[#This Row],[Tijd]],"00,000")</f>
        <v>Disk0000,000</v>
      </c>
      <c r="Q16" t="str">
        <f>IF(IFERROR(VLOOKUP(Tabel423723567[[#This Row],[SN]],Deelnemers[#All],7,0),0)&lt;&gt;$C$4,"Loopt niet in deze klasse!",IF(COUNTIF(Tabel423723567[SN],Tabel423723567[[#This Row],[SN]])&gt;1,"Dubbel",""))</f>
        <v/>
      </c>
    </row>
    <row r="17" spans="1:17" x14ac:dyDescent="0.3">
      <c r="A17">
        <f>IFERROR(VLOOKUP(Tabel423723567[[#This Row],[SN]],Deelnemers[#All],2,0),"")</f>
        <v>2019019</v>
      </c>
      <c r="B17" s="6">
        <f>IF(Tabel423723567[[#This Row],[Score]]="Disk",0,IF(VLOOKUP(Tabel423723567[[#This Row],[SN]],Deelnemers[#All],8,0)&gt;0,"BM",MATCH(Tabel423723567[[#This Row],[Sorteren]],Tabel423723567[Sorteren],0)-COUNTIF($B$7:$B16,"BM")))</f>
        <v>0</v>
      </c>
      <c r="D17" t="str">
        <f>IFERROR(VLOOKUP(Tabel423723567[[#This Row],[SN]],Deelnemers[#All],3,0),"")</f>
        <v>Jan Smeets</v>
      </c>
      <c r="E17" t="str">
        <f>IFERROR(VLOOKUP(Tabel423723567[[#This Row],[SN]],Deelnemers[#All],4,0),"")</f>
        <v>Bo</v>
      </c>
      <c r="F17" s="2" t="str">
        <f>IFERROR(VLOOKUP(Tabel423723567[[#This Row],[SN]],Deelnemers[#All],6,0),0)</f>
        <v>L</v>
      </c>
      <c r="G17" s="4">
        <v>130</v>
      </c>
      <c r="H17" s="12"/>
      <c r="I17" s="10"/>
      <c r="J17" s="10"/>
      <c r="K17" s="10"/>
      <c r="L17" s="11">
        <v>1</v>
      </c>
      <c r="M17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7" s="7">
        <f>IFERROR(PRODUCT($F$4,1/Tabel423723567[[#This Row],[Tijd]]),0)</f>
        <v>0</v>
      </c>
      <c r="O17">
        <f>SUM(Tabel423723567[[#This Row],[W]],Tabel423723567[[#This Row],[A]],Tabel423723567[[#This Row],[F]])*5</f>
        <v>0</v>
      </c>
      <c r="P17" t="str">
        <f>TEXT(Tabel423723567[[#This Row],[Score]],"00,00")&amp;TEXT(Tabel423723567[[#This Row],[Fouten]],"00")&amp;TEXT(Tabel423723567[[#This Row],[Tijd]],"00,000")</f>
        <v>Disk0000,000</v>
      </c>
      <c r="Q17" t="str">
        <f>IF(IFERROR(VLOOKUP(Tabel423723567[[#This Row],[SN]],Deelnemers[#All],7,0),0)&lt;&gt;$C$4,"Loopt niet in deze klasse!",IF(COUNTIF(Tabel423723567[SN],Tabel423723567[[#This Row],[SN]])&gt;1,"Dubbel",""))</f>
        <v/>
      </c>
    </row>
    <row r="18" spans="1:17" x14ac:dyDescent="0.3">
      <c r="A18">
        <f>IFERROR(VLOOKUP(Tabel423723567[[#This Row],[SN]],Deelnemers[#All],2,0),"")</f>
        <v>2021001</v>
      </c>
      <c r="B18" s="6">
        <f>IF(Tabel423723567[[#This Row],[Score]]="Disk",0,IF(VLOOKUP(Tabel423723567[[#This Row],[SN]],Deelnemers[#All],8,0)&gt;0,"BM",MATCH(Tabel423723567[[#This Row],[Sorteren]],Tabel423723567[Sorteren],0)-COUNTIF($B$7:$B17,"BM")))</f>
        <v>0</v>
      </c>
      <c r="D18" t="str">
        <f>IFERROR(VLOOKUP(Tabel423723567[[#This Row],[SN]],Deelnemers[#All],3,0),"")</f>
        <v>Peter Cleef van</v>
      </c>
      <c r="E18" t="str">
        <f>IFERROR(VLOOKUP(Tabel423723567[[#This Row],[SN]],Deelnemers[#All],4,0),"")</f>
        <v>Bo-Joe</v>
      </c>
      <c r="F18" s="2" t="str">
        <f>IFERROR(VLOOKUP(Tabel423723567[[#This Row],[SN]],Deelnemers[#All],6,0),0)</f>
        <v>L</v>
      </c>
      <c r="G18" s="4">
        <v>131</v>
      </c>
      <c r="H18" s="12"/>
      <c r="I18" s="10"/>
      <c r="J18" s="10"/>
      <c r="K18" s="10"/>
      <c r="L18" s="11">
        <v>1</v>
      </c>
      <c r="M18" t="str">
        <f>IF(OR($C$5="Jumping",$C$5="Vast Parcours",$C$5="Vast Parcours Spel",$C$5="Jumping Spel"),IF(OR(Tabel423723567[[#This Row],[Disk]]&gt;0,Tabel423723567[[#This Row],[W]]&gt;=3,Tabel423723567[[#This Row],[Tijd]]&gt;$F$3),"Disk",IF(ISBLANK(Tabel423723567[[#This Row],[Tijd]]),"",Tabel423723567[[#This Row],[Fouten]]+MAX(0,Tabel423723567[[#This Row],[Tijd]]-$F$2))),"-")</f>
        <v>Disk</v>
      </c>
      <c r="N18" s="7">
        <f>IFERROR(PRODUCT($F$4,1/Tabel423723567[[#This Row],[Tijd]]),0)</f>
        <v>0</v>
      </c>
      <c r="O18">
        <f>SUM(Tabel423723567[[#This Row],[W]],Tabel423723567[[#This Row],[A]],Tabel423723567[[#This Row],[F]])*5</f>
        <v>0</v>
      </c>
      <c r="P18" t="str">
        <f>TEXT(Tabel423723567[[#This Row],[Score]],"00,00")&amp;TEXT(Tabel423723567[[#This Row],[Fouten]],"00")&amp;TEXT(Tabel423723567[[#This Row],[Tijd]],"00,000")</f>
        <v>Disk0000,000</v>
      </c>
      <c r="Q18" t="str">
        <f>IF(IFERROR(VLOOKUP(Tabel423723567[[#This Row],[SN]],Deelnemers[#All],7,0),0)&lt;&gt;$C$4,"Loopt niet in deze klasse!",IF(COUNTIF(Tabel423723567[SN],Tabel423723567[[#This Row],[SN]])&gt;1,"Dubbel",""))</f>
        <v/>
      </c>
    </row>
  </sheetData>
  <sheetProtection formatCells="0" formatColumns="0" formatRows="0" insertColumns="0" insertRows="0" deleteColumns="0" deleteRows="0" sort="0" autoFilter="0" pivotTables="0"/>
  <mergeCells count="5">
    <mergeCell ref="C1:D1"/>
    <mergeCell ref="C2:D2"/>
    <mergeCell ref="C3:D3"/>
    <mergeCell ref="C4:D4"/>
    <mergeCell ref="C5:D5"/>
  </mergeCells>
  <dataValidations count="4">
    <dataValidation type="decimal" operator="greaterThan" allowBlank="1" showInputMessage="1" showErrorMessage="1" sqref="F2:F4" xr:uid="{85B26350-07E7-4925-80D3-BFDCA0851FB8}">
      <formula1>0</formula1>
    </dataValidation>
    <dataValidation type="list" allowBlank="1" showInputMessage="1" showErrorMessage="1" sqref="C4" xr:uid="{2F8FE9AC-6660-4EA7-9364-E7E3768B6A54}">
      <formula1>KlasseLijst</formula1>
    </dataValidation>
    <dataValidation type="list" allowBlank="1" showInputMessage="1" showErrorMessage="1" sqref="E5 C5" xr:uid="{71A67266-9293-485D-8C2A-2E6012C3D506}">
      <formula1>OnderdelenLijst</formula1>
    </dataValidation>
    <dataValidation type="date" operator="greaterThan" allowBlank="1" showInputMessage="1" showErrorMessage="1" sqref="C3:D3" xr:uid="{7711E252-A760-4E42-A1FC-113B63755C4E}">
      <formula1>41609</formula1>
    </dataValidation>
  </dataValidations>
  <pageMargins left="0.74803149606299213" right="0.74803149606299213" top="0.74" bottom="0.98425196850393704" header="0.51181102362204722" footer="0.51181102362204722"/>
  <pageSetup paperSize="9" scale="76" fitToHeight="0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10</vt:i4>
      </vt:variant>
    </vt:vector>
  </HeadingPairs>
  <TitlesOfParts>
    <vt:vector size="18" baseType="lpstr">
      <vt:lpstr>instructies</vt:lpstr>
      <vt:lpstr>Lijstjes</vt:lpstr>
      <vt:lpstr>Deelnemers</vt:lpstr>
      <vt:lpstr>VP SM</vt:lpstr>
      <vt:lpstr>VP IL</vt:lpstr>
      <vt:lpstr>KAMP VP Vet</vt:lpstr>
      <vt:lpstr>KAMP VP SM</vt:lpstr>
      <vt:lpstr>KAMP VP IL</vt:lpstr>
      <vt:lpstr>'KAMP VP IL'!Afdrukbereik</vt:lpstr>
      <vt:lpstr>'KAMP VP SM'!Afdrukbereik</vt:lpstr>
      <vt:lpstr>'KAMP VP Vet'!Afdrukbereik</vt:lpstr>
      <vt:lpstr>'VP IL'!Afdrukbereik</vt:lpstr>
      <vt:lpstr>'VP SM'!Afdrukbereik</vt:lpstr>
      <vt:lpstr>'KAMP VP IL'!Afdruktitels</vt:lpstr>
      <vt:lpstr>'KAMP VP SM'!Afdruktitels</vt:lpstr>
      <vt:lpstr>'KAMP VP Vet'!Afdruktitels</vt:lpstr>
      <vt:lpstr>'VP IL'!Afdruktitels</vt:lpstr>
      <vt:lpstr>'VP SM'!Afdruktitels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 Sprunken</dc:creator>
  <cp:lastModifiedBy>Marianne van Proosdij</cp:lastModifiedBy>
  <cp:revision/>
  <cp:lastPrinted>2023-09-03T14:16:36Z</cp:lastPrinted>
  <dcterms:created xsi:type="dcterms:W3CDTF">2013-12-08T19:59:28Z</dcterms:created>
  <dcterms:modified xsi:type="dcterms:W3CDTF">2024-04-17T12:20:12Z</dcterms:modified>
</cp:coreProperties>
</file>